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88" tabRatio="881" activeTab="0"/>
  </bookViews>
  <sheets>
    <sheet name="Offshore Wind NYC" sheetId="1" r:id="rId1"/>
    <sheet name="Wind NYC" sheetId="2" r:id="rId2"/>
    <sheet name="Wind GHI" sheetId="3" r:id="rId3"/>
    <sheet name="Solar NYC" sheetId="4" r:id="rId4"/>
    <sheet name="Solar GHI" sheetId="5" r:id="rId5"/>
    <sheet name="ICAP Price&amp;Impact" sheetId="6" r:id="rId6"/>
    <sheet name="Depreciation Tables" sheetId="7" r:id="rId7"/>
    <sheet name="Assumptions" sheetId="8" r:id="rId8"/>
  </sheets>
  <definedNames>
    <definedName name="DepreciationTypes" localSheetId="0">'Offshore Wind NYC'!$AP$7:$AR$7</definedName>
    <definedName name="DepreciationTypes" localSheetId="4">'Solar GHI'!$AP$7:$AR$7</definedName>
    <definedName name="DepreciationTypes" localSheetId="3">'Solar NYC'!$AP$7:$AR$7</definedName>
    <definedName name="DepreciationTypes" localSheetId="2">'Wind GHI'!$AP$7:$AR$7</definedName>
    <definedName name="DepreciationTypes" localSheetId="1">'Wind NYC'!$AP$7:$AR$7</definedName>
    <definedName name="MACRS" localSheetId="0">'Offshore Wind NYC'!$AP$8:$AP$13</definedName>
    <definedName name="MACRS" localSheetId="4">'Solar GHI'!$AP$8:$AP$13</definedName>
    <definedName name="MACRS" localSheetId="3">'Solar NYC'!$AP$8:$AP$13</definedName>
    <definedName name="MACRS" localSheetId="2">'Wind GHI'!$AP$8:$AP$13</definedName>
    <definedName name="MACRS" localSheetId="1">'Wind NYC'!$AP$8:$AP$13</definedName>
    <definedName name="StraightLine" localSheetId="0">'Offshore Wind NYC'!$AQ$8:$AQ$37</definedName>
    <definedName name="StraightLine" localSheetId="4">'Solar GHI'!$AQ$8:$AQ$37</definedName>
    <definedName name="StraightLine" localSheetId="3">'Solar NYC'!$AQ$8:$AQ$37</definedName>
    <definedName name="StraightLine" localSheetId="2">'Wind GHI'!$AQ$8:$AQ$37</definedName>
    <definedName name="StraightLine" localSheetId="1">'Wind NYC'!$AQ$8:$AQ$37</definedName>
    <definedName name="Yes" localSheetId="0">'Offshore Wind NYC'!$C$47</definedName>
    <definedName name="Yes" localSheetId="4">'Solar GHI'!$C$45</definedName>
    <definedName name="Yes" localSheetId="3">'Solar NYC'!$C$46</definedName>
    <definedName name="Yes" localSheetId="2">'Wind GHI'!$C$46</definedName>
    <definedName name="Yes" localSheetId="1">'Wind NYC'!$C$47</definedName>
    <definedName name="Yes">#REF!</definedName>
  </definedNames>
  <calcPr fullCalcOnLoad="1"/>
</workbook>
</file>

<file path=xl/sharedStrings.xml><?xml version="1.0" encoding="utf-8"?>
<sst xmlns="http://schemas.openxmlformats.org/spreadsheetml/2006/main" count="715" uniqueCount="158">
  <si>
    <t>Inputs</t>
  </si>
  <si>
    <t>Annual ICAP Price</t>
  </si>
  <si>
    <t>Net E&amp;AS</t>
  </si>
  <si>
    <t>Revenue</t>
  </si>
  <si>
    <t>Operating Costs</t>
  </si>
  <si>
    <t>Fixed O&amp;M</t>
  </si>
  <si>
    <t>Insurance</t>
  </si>
  <si>
    <t>PILOT</t>
  </si>
  <si>
    <t>Financing Parameters</t>
  </si>
  <si>
    <t>Debt</t>
  </si>
  <si>
    <t>Equity</t>
  </si>
  <si>
    <t>Interest Rate (Nominal)</t>
  </si>
  <si>
    <t>ROE Rate (Nominal)</t>
  </si>
  <si>
    <t>Inflation</t>
  </si>
  <si>
    <t>Composite Tax Rate</t>
  </si>
  <si>
    <t>Tax Depreciation Schedule</t>
  </si>
  <si>
    <t>Period</t>
  </si>
  <si>
    <t>Escalation Factor</t>
  </si>
  <si>
    <t>Cash Flow</t>
  </si>
  <si>
    <t>ICAP</t>
  </si>
  <si>
    <t>Gross Margin</t>
  </si>
  <si>
    <t xml:space="preserve">Total </t>
  </si>
  <si>
    <t>EBITDA</t>
  </si>
  <si>
    <t>Interest</t>
  </si>
  <si>
    <t>Tax Depreciation</t>
  </si>
  <si>
    <t>EBT</t>
  </si>
  <si>
    <t>Taxes</t>
  </si>
  <si>
    <t>Principle Payment</t>
  </si>
  <si>
    <t>LSE Cost Savings</t>
  </si>
  <si>
    <t>Depreciation</t>
  </si>
  <si>
    <t>Beginning Balance</t>
  </si>
  <si>
    <t>Debt Service</t>
  </si>
  <si>
    <t xml:space="preserve">Interest </t>
  </si>
  <si>
    <t xml:space="preserve">Principle </t>
  </si>
  <si>
    <t>Ending Balance</t>
  </si>
  <si>
    <t>Calculated Values</t>
  </si>
  <si>
    <t>Annual Debt Service Payment</t>
  </si>
  <si>
    <t>Net Present Value</t>
  </si>
  <si>
    <t>NPV Base Case</t>
  </si>
  <si>
    <t>NPV w/ LSE Cost Savings</t>
  </si>
  <si>
    <t>After Tax Cash Flow - Base Case</t>
  </si>
  <si>
    <t>After Tax Cash Flow - LSE Cost Savings</t>
  </si>
  <si>
    <t>NPV of Plant Cash Flow</t>
  </si>
  <si>
    <t>Depreciation Schedule</t>
  </si>
  <si>
    <t>Depreciation Type</t>
  </si>
  <si>
    <t>MACRS</t>
  </si>
  <si>
    <t>StraightLine</t>
  </si>
  <si>
    <t xml:space="preserve">Annual ICAP Price </t>
  </si>
  <si>
    <t>Net E&amp;AS Escalation Factor</t>
  </si>
  <si>
    <t>ROS UCAP</t>
  </si>
  <si>
    <t>Average MCP</t>
  </si>
  <si>
    <t>Cost of ROS Capacity</t>
  </si>
  <si>
    <t>Summer</t>
  </si>
  <si>
    <t>Winter</t>
  </si>
  <si>
    <t>Addition</t>
  </si>
  <si>
    <t>MW</t>
  </si>
  <si>
    <t>Slope</t>
  </si>
  <si>
    <t>$/kW-month/MW</t>
  </si>
  <si>
    <t>Average</t>
  </si>
  <si>
    <t>Annual Difference</t>
  </si>
  <si>
    <t>Implied MW*</t>
  </si>
  <si>
    <t>N/A</t>
  </si>
  <si>
    <t>*Note: At the time of this analysis, the Winter 2015-2016 Capability Period had not ended. Therefore, Monthly ICAP Auction prices were used to augment the data available and estimate the average ROS UCAP and MCP.</t>
  </si>
  <si>
    <t>Plant Installed Capacity</t>
  </si>
  <si>
    <t>Calendar Year</t>
  </si>
  <si>
    <t>%</t>
  </si>
  <si>
    <t>Capacity Market Factor</t>
  </si>
  <si>
    <t>Energy Market Factor</t>
  </si>
  <si>
    <t>MW ICAP</t>
  </si>
  <si>
    <t xml:space="preserve">Average LBMP </t>
  </si>
  <si>
    <t xml:space="preserve">Net E&amp;AS </t>
  </si>
  <si>
    <t>Installed Project Capital Costs</t>
  </si>
  <si>
    <t>GHI UCAP</t>
  </si>
  <si>
    <t>NYC UCAP</t>
  </si>
  <si>
    <t>$ ICAP</t>
  </si>
  <si>
    <t>Investment Horizon</t>
  </si>
  <si>
    <t>Capacity Price Effect Longivity</t>
  </si>
  <si>
    <t/>
  </si>
  <si>
    <t>Impact/100 UCAP MW</t>
  </si>
  <si>
    <t>MACRS + 50% bonus depreciation</t>
  </si>
  <si>
    <t>$/MWh</t>
  </si>
  <si>
    <t>NYCA Spot MCP</t>
  </si>
  <si>
    <t>G-J Spot MCP</t>
  </si>
  <si>
    <t>NYC Spot MCP</t>
  </si>
  <si>
    <t>NYCA Monthly Price **</t>
  </si>
  <si>
    <t>G-J Monthly Price</t>
  </si>
  <si>
    <t>NYC Monthly Price</t>
  </si>
  <si>
    <t>$/kW-yr</t>
  </si>
  <si>
    <t>yr</t>
  </si>
  <si>
    <t>$-yr</t>
  </si>
  <si>
    <t>Interest Rate (Real)</t>
  </si>
  <si>
    <t>ROE Rate (Real)</t>
  </si>
  <si>
    <t>WACC (Pre-tax)</t>
  </si>
  <si>
    <t>The 50% bonus depreciation described below generally applies to assets placed in service after December 31, 2007 and before January 1, 2015. (100% bonus depreciation described below generally applies to assets acquired after September 8, 2010 and placed in service before January 1, 2012. 30%/50% bonus depreciation under an earlier law generally expired January 1, 2005.)</t>
  </si>
  <si>
    <t>MACRSw50BonusDepreciation</t>
  </si>
  <si>
    <t xml:space="preserve"> Numbers and Analysis (As of January 2016)</t>
  </si>
  <si>
    <t>*Note: At the time of this analysis, the Winter 2015-2016 Capability Period had not ended. Therefore, Monthly ICAP Auction prices were used to augment the data available and estimate the average G-J UCAP and MCP.</t>
  </si>
  <si>
    <t>*Note: At the time of this analysis, the Winter 2015-2016 Capability Period had not ended. Therefore, Monthly ICAP Auction prices were used to augment the data available and estimate the average NYC UCAP and MCP.</t>
  </si>
  <si>
    <t>PTC Horizon</t>
  </si>
  <si>
    <t>NYC slope</t>
  </si>
  <si>
    <t>Federal Incentive, PTC</t>
  </si>
  <si>
    <t>Market Share NYC</t>
  </si>
  <si>
    <t>Market Share GHI</t>
  </si>
  <si>
    <t>Market Share ROS</t>
  </si>
  <si>
    <t>Net Present Value of Savings</t>
  </si>
  <si>
    <t>Plant Construction by LSE</t>
  </si>
  <si>
    <t>PTC</t>
  </si>
  <si>
    <t>http://www.irs.gov/pub/irs-pdf/f8835.pdf</t>
  </si>
  <si>
    <t xml:space="preserve">NYISO ICAP Manual </t>
  </si>
  <si>
    <t>&lt;http://energy.gov/sites/prod/files/2014/09/f18/2014%20Navigant%20Offshore%20Wind%20Market%20%26%20Economic%20Analysis.pdf&gt;</t>
  </si>
  <si>
    <t xml:space="preserve">Navigant’s Offshore Wind Market and Economic Analysis </t>
  </si>
  <si>
    <t>http://www.windmeasurementinternational.com/wind-turbines/om-turbines.php</t>
  </si>
  <si>
    <t>https://emp.lbl.gov/sites/all/files/lbnl-188167.pdf</t>
  </si>
  <si>
    <t>http://dwwind.com/press/block-island-wind-farm-now-fully-financed/</t>
  </si>
  <si>
    <t xml:space="preserve">Deepwater Wind Press release </t>
  </si>
  <si>
    <t xml:space="preserve">Utility Scale Solar 2014 LBNL Sep 2015 report </t>
  </si>
  <si>
    <t>https://emp.lbl.gov/sites/all/files/lbnl-1000917.pdf</t>
  </si>
  <si>
    <t>DOE "Revolution… Now" report</t>
  </si>
  <si>
    <t>http://energy.gov/sites/prod/files/2015/11/f27/Revolution-Now-11132015.pdf</t>
  </si>
  <si>
    <t>2014 Wind Technologies Market Report</t>
  </si>
  <si>
    <t xml:space="preserve">IRS </t>
  </si>
  <si>
    <t>https://www.irs.gov/publications/p946/ch04.html</t>
  </si>
  <si>
    <t>Preliminary Limited Renewable NPV Analysis</t>
  </si>
  <si>
    <t>Presently Under Revision</t>
  </si>
  <si>
    <t>DRAFT FOR DISCUSSION ONLY</t>
  </si>
  <si>
    <t>Hypothetical Offshore Wind Built in NYC</t>
  </si>
  <si>
    <t>Installed costs are not fully inclusive especially with regard to interconnection</t>
  </si>
  <si>
    <t>http://www.nyserda.ny.gov/-/media/Files/Publications/Research/Biomass-Solar-Wind/offshore-wind-energy-development.pdf</t>
  </si>
  <si>
    <t>New York's Offshore Wind Energy Development Potential in the Great Lakes: Feasibility Study</t>
  </si>
  <si>
    <t>** Monthly February 2016 Auction Results</t>
  </si>
  <si>
    <t>Cost of NYC Capacity</t>
  </si>
  <si>
    <t>Cost of GHI Capacity</t>
  </si>
  <si>
    <t xml:space="preserve">Taxes on LSE Cost Savings </t>
  </si>
  <si>
    <t>YES</t>
  </si>
  <si>
    <t>Tax Credit</t>
  </si>
  <si>
    <t>REC revenue</t>
  </si>
  <si>
    <t>Production Tax Credit, Federal</t>
  </si>
  <si>
    <t>Renewable Energy Credit, REC</t>
  </si>
  <si>
    <t>http://www.eia.gov/forecasts/aeo/assumptions/pdf/table_8.2.pdf</t>
  </si>
  <si>
    <t>EIA report</t>
  </si>
  <si>
    <t>Investment Tax Credit, Federal</t>
  </si>
  <si>
    <t>http://www.eia.gov/forecasts/aeo/assumptions/pdf/electricity.pdf</t>
  </si>
  <si>
    <t>Site development (i.e. land lease)</t>
  </si>
  <si>
    <t>Losses were ignored, losses for a freshwater offshore project are dependent on a variety of factors, but can be in the range of 20% to 25%</t>
  </si>
  <si>
    <t>Remaining Tax Credit</t>
  </si>
  <si>
    <t>Cash Taxes</t>
  </si>
  <si>
    <t>http://apps3.eere.energy.gov/greenpower/markets/certificates.shtml?page=5</t>
  </si>
  <si>
    <t>REC</t>
  </si>
  <si>
    <t>http://apps3.eere.energy.gov/greenpower/markets/certificates.shtml?page=1</t>
  </si>
  <si>
    <t>http://apps2.eere.energy.gov/wind/windexchange/wind_resource_maps.asp?stateab=ny</t>
  </si>
  <si>
    <t>https://www.gpo.gov/fdsys/pkg/BILLS-114hr2029enr/pdf/BILLS-114hr2029enr.pdf</t>
  </si>
  <si>
    <t>http://programs.dsireusa.org/system/program/detail/734</t>
  </si>
  <si>
    <t>Site development</t>
  </si>
  <si>
    <t>Federal Tax Rate</t>
  </si>
  <si>
    <t>State Tax Rate (Combined State/City)</t>
  </si>
  <si>
    <t>City Tax Rate</t>
  </si>
  <si>
    <t>NPV-kW</t>
  </si>
  <si>
    <t>Hypothetical Offshore Wind Built in GHI</t>
  </si>
</sst>
</file>

<file path=xl/styles.xml><?xml version="1.0" encoding="utf-8"?>
<styleSheet xmlns="http://schemas.openxmlformats.org/spreadsheetml/2006/main">
  <numFmts count="10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&quot;$&quot;#,##0.00"/>
    <numFmt numFmtId="170" formatCode="0.0%"/>
    <numFmt numFmtId="171" formatCode="0.000000"/>
    <numFmt numFmtId="172" formatCode="&quot;$&quot;#,##0.0_);[Red]\(&quot;$&quot;#,##0.0\)"/>
    <numFmt numFmtId="173" formatCode="&quot;$&quot;\ \ #,##0_);[Red]\(&quot;$&quot;\ \ #,##0\)"/>
    <numFmt numFmtId="174" formatCode="#,##0_);[Red]\(#,##0\);\-"/>
    <numFmt numFmtId="175" formatCode="#,##0.00000___;"/>
    <numFmt numFmtId="176" formatCode="&quot;$&quot;#,##0.00;\-&quot;$&quot;#,##0.00"/>
    <numFmt numFmtId="177" formatCode="0.0_%;\(0.0\)%;\ \-\ \ \ "/>
    <numFmt numFmtId="178" formatCode="#,###.000000_);\(#,##0.000000\);\ \-\ _ "/>
    <numFmt numFmtId="179" formatCode="&quot;$&quot;\ \ #,##0.0_);[Red]\(&quot;$&quot;\ \ #,##0.0\)"/>
    <numFmt numFmtId="180" formatCode="&quot;$&quot;\ \ #,##0.00_);[Red]\(&quot;$&quot;\ \ #,##0.00\)"/>
    <numFmt numFmtId="181" formatCode="#,##0_);\(#,##0\);_ \-\ \ "/>
    <numFmt numFmtId="182" formatCode="&quot;$&quot;#,##0;[Red]\-&quot;$&quot;#,##0"/>
    <numFmt numFmtId="183" formatCode="&quot;$&quot;#,##0.00;[Red]\-&quot;$&quot;#,##0.00"/>
    <numFmt numFmtId="184" formatCode="#,##0___);\(#,##0\);___-\ \ "/>
    <numFmt numFmtId="185" formatCode="&quot;£&quot;\ #,##0_);[Red]\(&quot;£&quot;\ #,##0\)"/>
    <numFmt numFmtId="186" formatCode="&quot;\&quot;\ #,##0_);[Red]\(&quot;\&quot;\ #,##0\)"/>
    <numFmt numFmtId="187" formatCode="0.0000000000000000%"/>
    <numFmt numFmtId="188" formatCode="0.0000000"/>
    <numFmt numFmtId="189" formatCode="#,##0;\(#,##0\)"/>
    <numFmt numFmtId="190" formatCode="_(* #,##0.0_);[Red]_(* \(#,##0.0\);_(* &quot;-&quot;??_);_(@_)"/>
    <numFmt numFmtId="191" formatCode="_(* #,##0_);_(* \(#,##0\);_(* &quot;0&quot;_);_(@_)"/>
    <numFmt numFmtId="192" formatCode="_-&quot;$&quot;* #,##0.00_-;\-&quot;$&quot;* #,##0.00_-;_-&quot;$&quot;* &quot;-&quot;??_-;_-@_-"/>
    <numFmt numFmtId="193" formatCode="#,##0_);\(#,##0\);&quot;- &quot;"/>
    <numFmt numFmtId="194" formatCode="_-* #,##0_-;\-* #,##0_-;_-* &quot;-&quot;_-;_-@_-"/>
    <numFmt numFmtId="195" formatCode="&quot;•&quot;\ \ @"/>
    <numFmt numFmtId="196" formatCode="#,##0;&quot;\&quot;\!\-#,##0;&quot;-&quot;"/>
    <numFmt numFmtId="197" formatCode="_-&quot;AUD&quot;* #,##0_-;\-&quot;AUD&quot;* #,##0_-;_-&quot;AUD&quot;* &quot;-&quot;_-;_-@_-"/>
    <numFmt numFmtId="198" formatCode="#,##0.0_);\(#,##0.0\)"/>
    <numFmt numFmtId="199" formatCode="#,##0.00_);[Red]\(#,##0.00\);\ \-_)"/>
    <numFmt numFmtId="200" formatCode="\(@\)"/>
    <numFmt numFmtId="201" formatCode=";;;\(@\)"/>
    <numFmt numFmtId="202" formatCode="_-* #,##0.00_-;\(#,##0.00\);_-* &quot;-&quot;_-"/>
    <numFmt numFmtId="203" formatCode="#,##0,_);\(#,##0,\)"/>
    <numFmt numFmtId="204" formatCode="&quot;$&quot;#,##0,_);[Red]\(&quot;$&quot;#,##0,\)"/>
    <numFmt numFmtId="205" formatCode="&quot;$&quot;\ #,##0.00;\-&quot;$&quot;\ #,##0.00;&quot;$&quot;\ 0.00;@"/>
    <numFmt numFmtId="206" formatCode="&quot;$&quot;#,##0.00;\(&quot;$&quot;#,##0.00\)"/>
    <numFmt numFmtId="207" formatCode="&quot;$&quot;#,##0\ ;\(&quot;$&quot;#,##0\)"/>
    <numFmt numFmtId="208" formatCode="[&gt;=500]#,##0,_);[Red][&lt;=-500]\(#,##0,\);\-_)"/>
    <numFmt numFmtId="209" formatCode=";;;&quot;Units: $'000&quot;"/>
    <numFmt numFmtId="210" formatCode="\ \ _•&quot;–&quot;\ \ \ \ @"/>
    <numFmt numFmtId="211" formatCode="d\ mmm\ yy"/>
    <numFmt numFmtId="212" formatCode="dd\ mmm\ yyyy"/>
    <numFmt numFmtId="213" formatCode="mmm\ yy"/>
    <numFmt numFmtId="214" formatCode="dd\-mmm\-yy_);&quot;Error &lt;0  &quot;;dd\-mmm\-yy_);&quot;  &quot;@"/>
    <numFmt numFmtId="215" formatCode="mmm\ yyyy_);&quot;Error &lt;0  &quot;;dd\ mmm\ yyyy_);&quot;  &quot;@"/>
    <numFmt numFmtId="216" formatCode="m/d/yy\ h:mm"/>
    <numFmt numFmtId="217" formatCode="#,##0;\-#,##0;0"/>
    <numFmt numFmtId="218" formatCode="#,##0.00;\-#,##0.00;0.00"/>
    <numFmt numFmtId="219" formatCode="#,##0.0000;\-#,##0.0000;0.0000"/>
    <numFmt numFmtId="220" formatCode="0.0000"/>
    <numFmt numFmtId="221" formatCode="#,##0,_);[Red]\(#,##0,\)"/>
    <numFmt numFmtId="222" formatCode="_([$€-2]* #,##0.00_);_([$€-2]* \(#,##0.00\);_([$€-2]* &quot;-&quot;??_)"/>
    <numFmt numFmtId="223" formatCode="_-* #,##0_-;\(#,##0\);_-* &quot;-&quot;_-"/>
    <numFmt numFmtId="224" formatCode="#,##0_);\(#,##0\);&quot;-  &quot;;&quot;  &quot;@"/>
    <numFmt numFmtId="225" formatCode="_-* #,##0.0_-;\-* #,##0.0_-;_-* &quot;-&quot;??_-;_-@_-"/>
    <numFmt numFmtId="226" formatCode="0."/>
    <numFmt numFmtId="227" formatCode="#,##0.00&quot; $&quot;;\-#,##0.00&quot; $&quot;"/>
    <numFmt numFmtId="228" formatCode=";;;"/>
    <numFmt numFmtId="229" formatCode="#,##0.00_ ;[Red]\ \(#,##0.00\);\ \-_)"/>
    <numFmt numFmtId="230" formatCode="#,##0_ ;[Red]\ \(#,##0\);\ \-_)"/>
    <numFmt numFmtId="231" formatCode="0.00%;\(0.00%\)"/>
    <numFmt numFmtId="232" formatCode="_-* #,##0.00_-;\(#,##0.00\);_-* &quot;-&quot;??_-;_-@_-"/>
    <numFmt numFmtId="233" formatCode="_(* #,##0.0,_);_(* \(#,##0.0,\);_(* &quot;-   &quot;_);_(@_)"/>
    <numFmt numFmtId="234" formatCode="_-* #,##0.00_-;\-* #,##0.00_-;_-* &quot;-&quot;??_-;_-@_-"/>
    <numFmt numFmtId="235" formatCode="&quot;Tariff&quot;\ 0"/>
    <numFmt numFmtId="236" formatCode="0\ &quot;Years Gredit Foncier&quot;"/>
    <numFmt numFmtId="237" formatCode="#,##0.00;[Red]\(#,##0.00\)"/>
    <numFmt numFmtId="238" formatCode="[&gt;=0.005]##,##0.00_);[Red][&lt;=-0.005]\(##,##0.00\);\0\.\0\0_)"/>
    <numFmt numFmtId="239" formatCode="#,##0\ &quot;Pts&quot;;\-#,##0\ &quot;Pts&quot;"/>
    <numFmt numFmtId="240" formatCode="[$-409]mmm\-yy;@"/>
    <numFmt numFmtId="241" formatCode="#,##0.000;[Red]\-#,##0.000"/>
    <numFmt numFmtId="242" formatCode="0.000E+00"/>
    <numFmt numFmtId="243" formatCode=";;;&quot;Units: $&quot;"/>
    <numFmt numFmtId="244" formatCode="_-* #,##0_-;[Red]\(\ #,##0\);_-* &quot;-&quot;??_-;_-@_-"/>
    <numFmt numFmtId="245" formatCode="_(* #,##0,_);_(* \(#,##0,\);_(* &quot;-&quot;??_);_(@_)"/>
    <numFmt numFmtId="246" formatCode="_(&quot;$&quot;* #,##0_);_(&quot;$&quot;* \(#,##0\);_(&quot;$&quot;* &quot;0&quot;_);_(@_)"/>
    <numFmt numFmtId="247" formatCode="#,##0.00;[Blue]\(#,##0.00\);&quot;-&quot;"/>
    <numFmt numFmtId="248" formatCode="_-&quot;$&quot;* #,##0_-;\-&quot;$&quot;* #,##0_-;_-&quot;$&quot;* &quot;-&quot;_-;_-@_-"/>
    <numFmt numFmtId="249" formatCode="0000"/>
    <numFmt numFmtId="250" formatCode="&quot;Yes&quot;;[Red]&quot;Error&quot;;&quot;No&quot;;[Red]&quot;Error&quot;"/>
    <numFmt numFmtId="251" formatCode="#,##0;[Red]\(#,##0\);\ &quot;-&quot;"/>
    <numFmt numFmtId="252" formatCode="&quot;\&quot;#,##0;[Red]&quot;\&quot;\-#,##0"/>
    <numFmt numFmtId="253" formatCode="#,##0.00%_);&quot;(&quot;#,##0.00%&quot;)&quot;;&quot;–&quot;_)"/>
    <numFmt numFmtId="254" formatCode="_(&quot;$&quot;* #,##0_);_(&quot;$&quot;* \(#,##0\);_(&quot;$&quot;* &quot;-&quot;?_);_(@_)"/>
    <numFmt numFmtId="255" formatCode="_(&quot;$&quot;* #,##0_);_(&quot;$&quot;* \(#,##0\);_(&quot;$&quot;* &quot;-&quot;???_);_(@_)"/>
    <numFmt numFmtId="256" formatCode="0.000000_);\(0.000000\)"/>
    <numFmt numFmtId="257" formatCode="&quot;$&quot;#,##0.000000_);\(&quot;$&quot;#,##0.000000\)"/>
    <numFmt numFmtId="258" formatCode="yyyy"/>
    <numFmt numFmtId="259" formatCode="_(&quot;$&quot;* #,##0.00_);_(&quot;$&quot;* \(#,##0.00\);_(&quot;$&quot;* &quot;-&quot;?_);_(@_)"/>
    <numFmt numFmtId="260" formatCode="_(&quot;$&quot;* #,##0.000000_);_(&quot;$&quot;* \(#,##0.000000\);_(&quot;$&quot;* &quot;-&quot;?_);_(@_)"/>
    <numFmt numFmtId="261" formatCode="_(&quot;$&quot;* #,##0.000000_);_(&quot;$&quot;* \(#,##0.000000\);_(&quot;$&quot;* &quot;-&quot;??_);_(@_)"/>
  </numFmts>
  <fonts count="2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3"/>
      <name val="Lucida Console"/>
      <family val="3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name val="Helv"/>
      <family val="2"/>
    </font>
    <font>
      <sz val="12"/>
      <name val="___"/>
      <family val="1"/>
    </font>
    <font>
      <sz val="11"/>
      <name val="__"/>
      <family val="3"/>
    </font>
    <font>
      <sz val="10"/>
      <name val="___"/>
      <family val="3"/>
    </font>
    <font>
      <sz val="10"/>
      <name val="MS Sans Serif"/>
      <family val="2"/>
    </font>
    <font>
      <sz val="11"/>
      <name val="___"/>
      <family val="1"/>
    </font>
    <font>
      <sz val="8"/>
      <name val="Times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u val="single"/>
      <sz val="10"/>
      <name val="Helv"/>
      <family val="0"/>
    </font>
    <font>
      <u val="singleAccounting"/>
      <sz val="12"/>
      <name val="Times New Roman"/>
      <family val="1"/>
    </font>
    <font>
      <b/>
      <sz val="6"/>
      <name val="CG Times (E1)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Times"/>
      <family val="1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9"/>
      <name val="Calibri"/>
      <family val="2"/>
    </font>
    <font>
      <b/>
      <i/>
      <sz val="10"/>
      <color indexed="10"/>
      <name val="Genev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u val="singleAccounting"/>
      <sz val="10"/>
      <name val="Times"/>
      <family val="1"/>
    </font>
    <font>
      <b/>
      <sz val="8"/>
      <name val="Gill Sans"/>
      <family val="2"/>
    </font>
    <font>
      <u val="doubleAccounting"/>
      <sz val="10"/>
      <name val="Arial"/>
      <family val="2"/>
    </font>
    <font>
      <u val="singleAccounting"/>
      <sz val="10"/>
      <name val="Arial"/>
      <family val="2"/>
    </font>
    <font>
      <sz val="10"/>
      <color indexed="10"/>
      <name val="Gill Sans"/>
      <family val="2"/>
    </font>
    <font>
      <sz val="11"/>
      <name val="??"/>
      <family val="3"/>
    </font>
    <font>
      <sz val="10"/>
      <name val="Helvetica"/>
      <family val="2"/>
    </font>
    <font>
      <sz val="10"/>
      <name val="Palatino"/>
      <family val="1"/>
    </font>
    <font>
      <sz val="10"/>
      <name val="Gill Sans"/>
      <family val="2"/>
    </font>
    <font>
      <sz val="10"/>
      <color indexed="10"/>
      <name val="Arial"/>
      <family val="2"/>
    </font>
    <font>
      <b/>
      <sz val="11"/>
      <name val="Optimum"/>
      <family val="0"/>
    </font>
    <font>
      <b/>
      <sz val="12"/>
      <name val="MS Sans Serif"/>
      <family val="2"/>
    </font>
    <font>
      <sz val="9"/>
      <name val="Times New Roman"/>
      <family val="1"/>
    </font>
    <font>
      <u val="double"/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1"/>
      <color indexed="9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56"/>
      <name val="Times New Roman"/>
      <family val="1"/>
    </font>
    <font>
      <b/>
      <sz val="14"/>
      <name val="Arial MT"/>
      <family val="0"/>
    </font>
    <font>
      <b/>
      <u val="single"/>
      <sz val="8"/>
      <color indexed="56"/>
      <name val="Arial"/>
      <family val="2"/>
    </font>
    <font>
      <b/>
      <i/>
      <sz val="10"/>
      <color indexed="62"/>
      <name val="Arial"/>
      <family val="2"/>
    </font>
    <font>
      <sz val="10"/>
      <color indexed="12"/>
      <name val="Gill Sans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10"/>
      <color indexed="18"/>
      <name val="Arial Narrow"/>
      <family val="2"/>
    </font>
    <font>
      <b/>
      <sz val="9"/>
      <color indexed="18"/>
      <name val="Arial"/>
      <family val="2"/>
    </font>
    <font>
      <sz val="8"/>
      <color indexed="55"/>
      <name val="Arial"/>
      <family val="2"/>
    </font>
    <font>
      <b/>
      <i/>
      <sz val="10"/>
      <color indexed="10"/>
      <name val="Helv"/>
      <family val="0"/>
    </font>
    <font>
      <sz val="11"/>
      <color indexed="60"/>
      <name val="Calibri"/>
      <family val="2"/>
    </font>
    <font>
      <sz val="10"/>
      <color indexed="32"/>
      <name val="Arial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GE Inspira"/>
      <family val="0"/>
    </font>
    <font>
      <sz val="7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1"/>
      <name val="ＭＳ Ｐゴシック"/>
      <family val="3"/>
    </font>
    <font>
      <i/>
      <sz val="9"/>
      <color indexed="10"/>
      <name val="Arial"/>
      <family val="2"/>
    </font>
    <font>
      <b/>
      <sz val="10"/>
      <name val="MS Sans Serif"/>
      <family val="2"/>
    </font>
    <font>
      <sz val="10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8"/>
      <color indexed="16"/>
      <name val="Century Schoolbook"/>
      <family val="1"/>
    </font>
    <font>
      <sz val="10"/>
      <color indexed="60"/>
      <name val="Gill Sans"/>
      <family val="2"/>
    </font>
    <font>
      <b/>
      <sz val="12"/>
      <color indexed="12"/>
      <name val="Arial"/>
      <family val="2"/>
    </font>
    <font>
      <b/>
      <i/>
      <sz val="10"/>
      <name val="Times New Roman"/>
      <family val="1"/>
    </font>
    <font>
      <b/>
      <sz val="13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Helv"/>
      <family val="2"/>
    </font>
    <font>
      <b/>
      <i/>
      <sz val="10"/>
      <name val="Arial"/>
      <family val="2"/>
    </font>
    <font>
      <sz val="12"/>
      <color indexed="17"/>
      <name val="SWISS"/>
      <family val="2"/>
    </font>
    <font>
      <b/>
      <u val="single"/>
      <sz val="9"/>
      <name val="Gill Sans"/>
      <family val="2"/>
    </font>
    <font>
      <b/>
      <sz val="10"/>
      <name val="Courier New"/>
      <family val="3"/>
    </font>
    <font>
      <i/>
      <sz val="10"/>
      <name val="Courier New"/>
      <family val="3"/>
    </font>
    <font>
      <b/>
      <sz val="10"/>
      <color indexed="18"/>
      <name val="Helv"/>
      <family val="0"/>
    </font>
    <font>
      <b/>
      <sz val="10"/>
      <name val="Times"/>
      <family val="1"/>
    </font>
    <font>
      <b/>
      <sz val="18"/>
      <color indexed="62"/>
      <name val="Cambria"/>
      <family val="2"/>
    </font>
    <font>
      <b/>
      <i/>
      <sz val="14"/>
      <color indexed="9"/>
      <name val="Times New Roman"/>
      <family val="1"/>
    </font>
    <font>
      <u val="doubleAccounting"/>
      <sz val="10"/>
      <name val="Helv"/>
      <family val="0"/>
    </font>
    <font>
      <u val="doubleAccounting"/>
      <sz val="12"/>
      <name val="Times New Roman"/>
      <family val="1"/>
    </font>
    <font>
      <sz val="9"/>
      <color indexed="55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Osaka"/>
      <family val="3"/>
    </font>
    <font>
      <sz val="11"/>
      <color indexed="8"/>
      <name val="GE Inspir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11"/>
      <color indexed="2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7"/>
      <name val="Calibri"/>
      <family val="2"/>
    </font>
    <font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color indexed="9"/>
      <name val="Calibri"/>
      <family val="2"/>
    </font>
    <font>
      <sz val="11"/>
      <color indexed="44"/>
      <name val="Calibri"/>
      <family val="2"/>
    </font>
    <font>
      <b/>
      <u val="single"/>
      <sz val="16"/>
      <name val="Calibri"/>
      <family val="2"/>
    </font>
    <font>
      <sz val="14"/>
      <color indexed="8"/>
      <name val="Times New Roman"/>
      <family val="1"/>
    </font>
    <font>
      <i/>
      <sz val="11"/>
      <name val="Calibri"/>
      <family val="2"/>
    </font>
    <font>
      <b/>
      <sz val="18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8"/>
      <name val="Times New Roman"/>
      <family val="0"/>
    </font>
    <font>
      <sz val="8"/>
      <name val="Univer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E Inspira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Cambria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2" tint="-0.7499799728393555"/>
      <name val="Calibri"/>
      <family val="2"/>
    </font>
    <font>
      <sz val="11"/>
      <color theme="1" tint="0.34999001026153564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sz val="11"/>
      <color theme="8" tint="0.5999900102615356"/>
      <name val="Calibri"/>
      <family val="2"/>
    </font>
    <font>
      <b/>
      <i/>
      <sz val="12"/>
      <color theme="0"/>
      <name val="Calibri"/>
      <family val="2"/>
    </font>
    <font>
      <b/>
      <sz val="11"/>
      <color theme="9" tint="-0.24997000396251678"/>
      <name val="Calibri"/>
      <family val="2"/>
    </font>
    <font>
      <sz val="14"/>
      <color theme="1"/>
      <name val="Times New Roman"/>
      <family val="1"/>
    </font>
    <font>
      <sz val="11"/>
      <color theme="0" tint="-0.1499900072813034"/>
      <name val="Calibri"/>
      <family val="2"/>
    </font>
    <font>
      <b/>
      <sz val="18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1"/>
      <color rgb="FF00B050"/>
      <name val="Calibri"/>
      <family val="2"/>
    </font>
    <font>
      <b/>
      <sz val="12"/>
      <color rgb="FF006600"/>
      <name val="Calibri"/>
      <family val="2"/>
    </font>
    <font>
      <sz val="11"/>
      <color theme="0" tint="-0.4999699890613556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1"/>
      </patternFill>
    </fill>
    <fill>
      <patternFill patternType="gray125">
        <fgColor indexed="1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mediumGray">
        <fgColor indexed="17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5C42"/>
        <bgColor indexed="64"/>
      </patternFill>
    </fill>
    <fill>
      <patternFill patternType="solid">
        <fgColor rgb="FFFFC425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/>
      <right/>
      <top/>
      <bottom/>
    </border>
    <border>
      <left style="double"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41"/>
      </left>
      <right style="thin">
        <color indexed="9"/>
      </right>
      <top style="thin">
        <color indexed="41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double"/>
      <bottom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double"/>
      <right style="double"/>
      <top style="double"/>
      <bottom style="double"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5"/>
      </bottom>
    </border>
    <border>
      <left style="thin"/>
      <right style="thin"/>
      <top/>
      <bottom/>
    </border>
    <border>
      <left/>
      <right/>
      <top/>
      <bottom style="thin">
        <color indexed="45"/>
      </bottom>
    </border>
    <border>
      <left/>
      <right/>
      <top style="medium">
        <color indexed="45"/>
      </top>
      <bottom/>
    </border>
    <border>
      <left/>
      <right/>
      <top/>
      <bottom style="double">
        <color indexed="45"/>
      </bottom>
    </border>
    <border>
      <left/>
      <right/>
      <top/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61"/>
      </left>
      <right/>
      <top/>
      <bottom/>
    </border>
    <border>
      <left style="medium">
        <color indexed="60"/>
      </left>
      <right/>
      <top/>
      <bottom/>
    </border>
    <border>
      <left style="medium">
        <color indexed="59"/>
      </left>
      <right/>
      <top/>
      <bottom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/>
      <right/>
      <top/>
      <bottom style="medium">
        <color indexed="8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 style="medium"/>
      <top/>
      <bottom style="double"/>
    </border>
  </borders>
  <cellStyleXfs count="10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8" fillId="0" borderId="0">
      <alignment horizontal="left" wrapText="1"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Border="0">
      <alignment horizontal="left"/>
      <protection/>
    </xf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79" fontId="8" fillId="0" borderId="0" applyFont="0" applyFill="0" applyBorder="0" applyAlignment="0" applyProtection="0"/>
    <xf numFmtId="0" fontId="22" fillId="0" borderId="0">
      <alignment/>
      <protection/>
    </xf>
    <xf numFmtId="179" fontId="8" fillId="0" borderId="0" applyFont="0" applyFill="0" applyBorder="0" applyAlignment="0" applyProtection="0"/>
    <xf numFmtId="0" fontId="22" fillId="0" borderId="0">
      <alignment/>
      <protection/>
    </xf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2" fillId="0" borderId="0">
      <alignment/>
      <protection/>
    </xf>
    <xf numFmtId="180" fontId="8" fillId="0" borderId="0" applyFon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0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0" fillId="0" borderId="0">
      <alignment/>
      <protection/>
    </xf>
    <xf numFmtId="179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79" fontId="8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0" fillId="0" borderId="0">
      <alignment/>
      <protection/>
    </xf>
    <xf numFmtId="179" fontId="8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80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1" fillId="0" borderId="0">
      <alignment/>
      <protection/>
    </xf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0" fontId="8" fillId="0" borderId="0">
      <alignment/>
      <protection/>
    </xf>
    <xf numFmtId="17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0" fillId="0" borderId="0">
      <alignment/>
      <protection/>
    </xf>
    <xf numFmtId="180" fontId="8" fillId="0" borderId="0" applyFont="0" applyFill="0" applyBorder="0" applyAlignment="0" applyProtection="0"/>
    <xf numFmtId="0" fontId="20" fillId="0" borderId="0">
      <alignment/>
      <protection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80" fontId="8" fillId="0" borderId="0" applyFont="0" applyFill="0" applyBorder="0" applyAlignment="0" applyProtection="0"/>
    <xf numFmtId="0" fontId="20" fillId="0" borderId="0">
      <alignment/>
      <protection/>
    </xf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8" fontId="19" fillId="0" borderId="0" applyFont="0" applyFill="0" applyBorder="0" applyAlignment="0" applyProtection="0"/>
    <xf numFmtId="0" fontId="20" fillId="0" borderId="0">
      <alignment/>
      <protection/>
    </xf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20" fillId="0" borderId="0">
      <alignment/>
      <protection/>
    </xf>
    <xf numFmtId="183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83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83" fontId="8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180" fontId="8" fillId="0" borderId="0" applyFont="0" applyFill="0" applyBorder="0" applyAlignment="0" applyProtection="0"/>
    <xf numFmtId="0" fontId="21" fillId="0" borderId="0">
      <alignment/>
      <protection/>
    </xf>
    <xf numFmtId="179" fontId="8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179" fontId="8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175" fontId="8" fillId="0" borderId="0" applyFont="0" applyFill="0" applyBorder="0" applyAlignment="0" applyProtection="0"/>
    <xf numFmtId="0" fontId="21" fillId="0" borderId="0">
      <alignment/>
      <protection/>
    </xf>
    <xf numFmtId="175" fontId="8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1" fillId="0" borderId="0">
      <alignment/>
      <protection/>
    </xf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>
      <alignment/>
      <protection/>
    </xf>
    <xf numFmtId="0" fontId="8" fillId="0" borderId="0" applyFont="0" applyFill="0" applyBorder="0" applyAlignment="0" applyProtection="0"/>
    <xf numFmtId="0" fontId="21" fillId="0" borderId="0">
      <alignment/>
      <protection/>
    </xf>
    <xf numFmtId="0" fontId="8" fillId="0" borderId="0">
      <alignment/>
      <protection/>
    </xf>
    <xf numFmtId="180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80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9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79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77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23" fillId="0" borderId="0">
      <alignment/>
      <protection/>
    </xf>
    <xf numFmtId="177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184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84" fontId="8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84" fontId="8" fillId="0" borderId="0" applyFont="0" applyFill="0" applyBorder="0" applyAlignment="0" applyProtection="0"/>
    <xf numFmtId="0" fontId="20" fillId="0" borderId="0">
      <alignment/>
      <protection/>
    </xf>
    <xf numFmtId="184" fontId="8" fillId="0" borderId="0" applyFont="0" applyFill="0" applyBorder="0" applyAlignment="0" applyProtection="0"/>
    <xf numFmtId="171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ill="0" applyBorder="0" applyAlignment="0" applyProtection="0"/>
    <xf numFmtId="171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25" fillId="0" borderId="0">
      <alignment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0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0" fontId="8" fillId="0" borderId="0">
      <alignment horizontal="left" wrapText="1"/>
      <protection/>
    </xf>
    <xf numFmtId="171" fontId="8" fillId="0" borderId="0">
      <alignment horizontal="left" wrapText="1"/>
      <protection/>
    </xf>
    <xf numFmtId="0" fontId="8" fillId="0" borderId="0">
      <alignment horizontal="left" wrapText="1"/>
      <protection/>
    </xf>
    <xf numFmtId="171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0" fontId="8" fillId="0" borderId="0" applyNumberFormat="0" applyFill="0" applyBorder="0" applyAlignment="0" applyProtection="0"/>
    <xf numFmtId="0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171" fontId="8" fillId="0" borderId="0">
      <alignment horizontal="left" wrapText="1"/>
      <protection/>
    </xf>
    <xf numFmtId="0" fontId="8" fillId="0" borderId="0">
      <alignment horizontal="left" wrapText="1"/>
      <protection/>
    </xf>
    <xf numFmtId="171" fontId="8" fillId="0" borderId="0">
      <alignment horizontal="left" wrapText="1"/>
      <protection/>
    </xf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8" fillId="0" borderId="0">
      <alignment/>
      <protection/>
    </xf>
    <xf numFmtId="187" fontId="8" fillId="0" borderId="0" applyBorder="0">
      <alignment/>
      <protection/>
    </xf>
    <xf numFmtId="187" fontId="8" fillId="0" borderId="0" applyBorder="0">
      <alignment/>
      <protection/>
    </xf>
    <xf numFmtId="187" fontId="8" fillId="0" borderId="0" applyBorder="0">
      <alignment/>
      <protection/>
    </xf>
    <xf numFmtId="187" fontId="8" fillId="0" borderId="0" applyBorder="0">
      <alignment/>
      <protection/>
    </xf>
    <xf numFmtId="187" fontId="8" fillId="0" borderId="0" applyBorder="0">
      <alignment/>
      <protection/>
    </xf>
    <xf numFmtId="187" fontId="8" fillId="0" borderId="0" applyBorder="0">
      <alignment/>
      <protection/>
    </xf>
    <xf numFmtId="188" fontId="8" fillId="0" borderId="0" applyBorder="0">
      <alignment/>
      <protection/>
    </xf>
    <xf numFmtId="188" fontId="8" fillId="0" borderId="0" applyBorder="0">
      <alignment/>
      <protection/>
    </xf>
    <xf numFmtId="188" fontId="8" fillId="0" borderId="0" applyBorder="0">
      <alignment/>
      <protection/>
    </xf>
    <xf numFmtId="189" fontId="8" fillId="0" borderId="0" applyBorder="0">
      <alignment/>
      <protection/>
    </xf>
    <xf numFmtId="189" fontId="8" fillId="0" borderId="0" applyBorder="0">
      <alignment/>
      <protection/>
    </xf>
    <xf numFmtId="189" fontId="8" fillId="0" borderId="0" applyBorder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190" fontId="27" fillId="0" borderId="0" applyFont="0" applyFill="0" applyBorder="0" applyAlignment="0" applyProtection="0"/>
    <xf numFmtId="0" fontId="28" fillId="0" borderId="0">
      <alignment/>
      <protection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6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75" fillId="27" borderId="0" applyNumberFormat="0" applyBorder="0" applyAlignment="0" applyProtection="0"/>
    <xf numFmtId="0" fontId="29" fillId="28" borderId="0" applyNumberFormat="0" applyBorder="0" applyAlignment="0" applyProtection="0"/>
    <xf numFmtId="0" fontId="175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175" fillId="30" borderId="0" applyNumberFormat="0" applyBorder="0" applyAlignment="0" applyProtection="0"/>
    <xf numFmtId="0" fontId="29" fillId="20" borderId="0" applyNumberFormat="0" applyBorder="0" applyAlignment="0" applyProtection="0"/>
    <xf numFmtId="0" fontId="175" fillId="30" borderId="0" applyNumberFormat="0" applyBorder="0" applyAlignment="0" applyProtection="0"/>
    <xf numFmtId="0" fontId="29" fillId="20" borderId="0" applyNumberFormat="0" applyBorder="0" applyAlignment="0" applyProtection="0"/>
    <xf numFmtId="0" fontId="175" fillId="31" borderId="0" applyNumberFormat="0" applyBorder="0" applyAlignment="0" applyProtection="0"/>
    <xf numFmtId="0" fontId="29" fillId="9" borderId="0" applyNumberFormat="0" applyBorder="0" applyAlignment="0" applyProtection="0"/>
    <xf numFmtId="0" fontId="175" fillId="3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175" fillId="32" borderId="0" applyNumberFormat="0" applyBorder="0" applyAlignment="0" applyProtection="0"/>
    <xf numFmtId="0" fontId="29" fillId="17" borderId="0" applyNumberFormat="0" applyBorder="0" applyAlignment="0" applyProtection="0"/>
    <xf numFmtId="0" fontId="175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17" borderId="0" applyNumberFormat="0" applyBorder="0" applyAlignment="0" applyProtection="0"/>
    <xf numFmtId="0" fontId="175" fillId="34" borderId="0" applyNumberFormat="0" applyBorder="0" applyAlignment="0" applyProtection="0"/>
    <xf numFmtId="0" fontId="29" fillId="28" borderId="0" applyNumberFormat="0" applyBorder="0" applyAlignment="0" applyProtection="0"/>
    <xf numFmtId="0" fontId="175" fillId="34" borderId="0" applyNumberFormat="0" applyBorder="0" applyAlignment="0" applyProtection="0"/>
    <xf numFmtId="0" fontId="29" fillId="28" borderId="0" applyNumberFormat="0" applyBorder="0" applyAlignment="0" applyProtection="0"/>
    <xf numFmtId="0" fontId="175" fillId="35" borderId="0" applyNumberFormat="0" applyBorder="0" applyAlignment="0" applyProtection="0"/>
    <xf numFmtId="0" fontId="29" fillId="6" borderId="0" applyNumberFormat="0" applyBorder="0" applyAlignment="0" applyProtection="0"/>
    <xf numFmtId="0" fontId="175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6" borderId="0" applyNumberFormat="0" applyBorder="0" applyAlignment="0" applyProtection="0"/>
    <xf numFmtId="0" fontId="8" fillId="0" borderId="0">
      <alignment/>
      <protection/>
    </xf>
    <xf numFmtId="0" fontId="175" fillId="37" borderId="0" applyNumberFormat="0" applyBorder="0" applyAlignment="0" applyProtection="0"/>
    <xf numFmtId="0" fontId="29" fillId="28" borderId="0" applyNumberFormat="0" applyBorder="0" applyAlignment="0" applyProtection="0"/>
    <xf numFmtId="0" fontId="175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28" borderId="0" applyNumberFormat="0" applyBorder="0" applyAlignment="0" applyProtection="0"/>
    <xf numFmtId="0" fontId="175" fillId="39" borderId="0" applyNumberFormat="0" applyBorder="0" applyAlignment="0" applyProtection="0"/>
    <xf numFmtId="0" fontId="29" fillId="40" borderId="0" applyNumberFormat="0" applyBorder="0" applyAlignment="0" applyProtection="0"/>
    <xf numFmtId="0" fontId="175" fillId="39" borderId="0" applyNumberFormat="0" applyBorder="0" applyAlignment="0" applyProtection="0"/>
    <xf numFmtId="0" fontId="29" fillId="40" borderId="0" applyNumberFormat="0" applyBorder="0" applyAlignment="0" applyProtection="0"/>
    <xf numFmtId="0" fontId="175" fillId="41" borderId="0" applyNumberFormat="0" applyBorder="0" applyAlignment="0" applyProtection="0"/>
    <xf numFmtId="0" fontId="29" fillId="42" borderId="0" applyNumberFormat="0" applyBorder="0" applyAlignment="0" applyProtection="0"/>
    <xf numFmtId="0" fontId="175" fillId="41" borderId="0" applyNumberFormat="0" applyBorder="0" applyAlignment="0" applyProtection="0"/>
    <xf numFmtId="0" fontId="29" fillId="42" borderId="0" applyNumberFormat="0" applyBorder="0" applyAlignment="0" applyProtection="0"/>
    <xf numFmtId="0" fontId="175" fillId="43" borderId="0" applyNumberFormat="0" applyBorder="0" applyAlignment="0" applyProtection="0"/>
    <xf numFmtId="0" fontId="29" fillId="44" borderId="0" applyNumberFormat="0" applyBorder="0" applyAlignment="0" applyProtection="0"/>
    <xf numFmtId="0" fontId="175" fillId="43" borderId="0" applyNumberFormat="0" applyBorder="0" applyAlignment="0" applyProtection="0"/>
    <xf numFmtId="0" fontId="29" fillId="33" borderId="0" applyNumberFormat="0" applyBorder="0" applyAlignment="0" applyProtection="0"/>
    <xf numFmtId="0" fontId="29" fillId="44" borderId="0" applyNumberFormat="0" applyBorder="0" applyAlignment="0" applyProtection="0"/>
    <xf numFmtId="0" fontId="175" fillId="45" borderId="0" applyNumberFormat="0" applyBorder="0" applyAlignment="0" applyProtection="0"/>
    <xf numFmtId="0" fontId="29" fillId="28" borderId="0" applyNumberFormat="0" applyBorder="0" applyAlignment="0" applyProtection="0"/>
    <xf numFmtId="0" fontId="175" fillId="45" borderId="0" applyNumberFormat="0" applyBorder="0" applyAlignment="0" applyProtection="0"/>
    <xf numFmtId="0" fontId="29" fillId="28" borderId="0" applyNumberFormat="0" applyBorder="0" applyAlignment="0" applyProtection="0"/>
    <xf numFmtId="0" fontId="175" fillId="46" borderId="0" applyNumberFormat="0" applyBorder="0" applyAlignment="0" applyProtection="0"/>
    <xf numFmtId="0" fontId="29" fillId="47" borderId="0" applyNumberFormat="0" applyBorder="0" applyAlignment="0" applyProtection="0"/>
    <xf numFmtId="0" fontId="175" fillId="46" borderId="0" applyNumberFormat="0" applyBorder="0" applyAlignment="0" applyProtection="0"/>
    <xf numFmtId="0" fontId="29" fillId="47" borderId="0" applyNumberFormat="0" applyBorder="0" applyAlignment="0" applyProtection="0"/>
    <xf numFmtId="6" fontId="4" fillId="0" borderId="0">
      <alignment horizontal="right"/>
      <protection/>
    </xf>
    <xf numFmtId="191" fontId="19" fillId="0" borderId="0">
      <alignment/>
      <protection/>
    </xf>
    <xf numFmtId="192" fontId="8" fillId="18" borderId="2">
      <alignment horizontal="center" vertical="center"/>
      <protection/>
    </xf>
    <xf numFmtId="192" fontId="8" fillId="18" borderId="2">
      <alignment horizontal="center" vertical="center"/>
      <protection/>
    </xf>
    <xf numFmtId="192" fontId="8" fillId="18" borderId="2">
      <alignment horizontal="center" vertical="center"/>
      <protection/>
    </xf>
    <xf numFmtId="0" fontId="25" fillId="0" borderId="0">
      <alignment/>
      <protection/>
    </xf>
    <xf numFmtId="3" fontId="30" fillId="0" borderId="0">
      <alignment/>
      <protection/>
    </xf>
    <xf numFmtId="0" fontId="26" fillId="0" borderId="0">
      <alignment/>
      <protection/>
    </xf>
    <xf numFmtId="3" fontId="31" fillId="9" borderId="3">
      <alignment horizontal="center"/>
      <protection locked="0"/>
    </xf>
    <xf numFmtId="3" fontId="31" fillId="9" borderId="0">
      <alignment horizontal="center"/>
      <protection locked="0"/>
    </xf>
    <xf numFmtId="17" fontId="32" fillId="9" borderId="3">
      <alignment horizontal="center"/>
      <protection locked="0"/>
    </xf>
    <xf numFmtId="0" fontId="9" fillId="22" borderId="0" applyNumberFormat="0" applyFont="0" applyBorder="0" applyAlignment="0" applyProtection="0"/>
    <xf numFmtId="0" fontId="176" fillId="48" borderId="0" applyNumberFormat="0" applyBorder="0" applyAlignment="0" applyProtection="0"/>
    <xf numFmtId="0" fontId="33" fillId="7" borderId="0" applyNumberFormat="0" applyBorder="0" applyAlignment="0" applyProtection="0"/>
    <xf numFmtId="0" fontId="176" fillId="48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193" fontId="8" fillId="0" borderId="0" applyFont="0" applyFill="0" applyBorder="0" applyAlignment="0">
      <protection/>
    </xf>
    <xf numFmtId="0" fontId="35" fillId="0" borderId="4" applyNumberFormat="0" applyFill="0" applyAlignment="0" applyProtection="0"/>
    <xf numFmtId="0" fontId="36" fillId="49" borderId="5">
      <alignment/>
      <protection/>
    </xf>
    <xf numFmtId="191" fontId="37" fillId="0" borderId="0">
      <alignment/>
      <protection/>
    </xf>
    <xf numFmtId="194" fontId="38" fillId="0" borderId="0">
      <alignment/>
      <protection/>
    </xf>
    <xf numFmtId="166" fontId="27" fillId="0" borderId="0" applyFill="0" applyBorder="0" applyProtection="0">
      <alignment/>
    </xf>
    <xf numFmtId="195" fontId="26" fillId="0" borderId="0" applyFont="0" applyFill="0" applyBorder="0" applyAlignment="0" applyProtection="0"/>
    <xf numFmtId="4" fontId="39" fillId="0" borderId="6">
      <alignment horizontal="centerContinuous"/>
      <protection/>
    </xf>
    <xf numFmtId="169" fontId="4" fillId="0" borderId="0" applyFill="0">
      <alignment/>
      <protection/>
    </xf>
    <xf numFmtId="169" fontId="4" fillId="0" borderId="0">
      <alignment horizontal="center"/>
      <protection/>
    </xf>
    <xf numFmtId="0" fontId="4" fillId="0" borderId="0" applyFill="0">
      <alignment horizontal="center"/>
      <protection/>
    </xf>
    <xf numFmtId="169" fontId="7" fillId="0" borderId="7" applyFill="0">
      <alignment/>
      <protection/>
    </xf>
    <xf numFmtId="0" fontId="8" fillId="0" borderId="0" applyFont="0" applyAlignment="0">
      <protection/>
    </xf>
    <xf numFmtId="0" fontId="40" fillId="0" borderId="0" applyFill="0">
      <alignment vertical="top"/>
      <protection/>
    </xf>
    <xf numFmtId="0" fontId="7" fillId="0" borderId="0" applyFill="0">
      <alignment horizontal="left" vertical="top"/>
      <protection/>
    </xf>
    <xf numFmtId="169" fontId="41" fillId="0" borderId="8" applyFill="0">
      <alignment/>
      <protection/>
    </xf>
    <xf numFmtId="0" fontId="8" fillId="0" borderId="0" applyNumberFormat="0" applyFont="0" applyAlignment="0">
      <protection/>
    </xf>
    <xf numFmtId="0" fontId="40" fillId="0" borderId="0" applyFill="0">
      <alignment wrapText="1"/>
      <protection/>
    </xf>
    <xf numFmtId="0" fontId="7" fillId="0" borderId="0" applyFill="0">
      <alignment horizontal="left" vertical="top" wrapText="1"/>
      <protection/>
    </xf>
    <xf numFmtId="169" fontId="5" fillId="0" borderId="0" applyFill="0">
      <alignment/>
      <protection/>
    </xf>
    <xf numFmtId="0" fontId="42" fillId="0" borderId="0" applyNumberFormat="0" applyFont="0" applyAlignment="0">
      <protection/>
    </xf>
    <xf numFmtId="0" fontId="43" fillId="0" borderId="0" applyFill="0">
      <alignment vertical="top" wrapText="1"/>
      <protection/>
    </xf>
    <xf numFmtId="0" fontId="41" fillId="0" borderId="0" applyFill="0">
      <alignment horizontal="left" vertical="top" wrapText="1"/>
      <protection/>
    </xf>
    <xf numFmtId="169" fontId="8" fillId="0" borderId="0" applyFill="0">
      <alignment/>
      <protection/>
    </xf>
    <xf numFmtId="0" fontId="42" fillId="0" borderId="0" applyNumberFormat="0" applyFont="0" applyAlignment="0">
      <protection/>
    </xf>
    <xf numFmtId="0" fontId="44" fillId="0" borderId="0" applyFill="0">
      <alignment vertical="center" wrapText="1"/>
      <protection/>
    </xf>
    <xf numFmtId="0" fontId="45" fillId="0" borderId="0">
      <alignment horizontal="left" vertical="center" wrapText="1"/>
      <protection/>
    </xf>
    <xf numFmtId="169" fontId="46" fillId="0" borderId="0" applyFill="0">
      <alignment/>
      <protection/>
    </xf>
    <xf numFmtId="0" fontId="42" fillId="0" borderId="0" applyNumberFormat="0" applyFont="0" applyAlignment="0">
      <protection/>
    </xf>
    <xf numFmtId="0" fontId="47" fillId="0" borderId="0" applyFill="0">
      <alignment horizontal="center" vertical="center" wrapText="1"/>
      <protection/>
    </xf>
    <xf numFmtId="0" fontId="8" fillId="0" borderId="0" applyFill="0">
      <alignment horizontal="center" vertical="center" wrapText="1"/>
      <protection/>
    </xf>
    <xf numFmtId="169" fontId="48" fillId="0" borderId="0" applyFill="0">
      <alignment/>
      <protection/>
    </xf>
    <xf numFmtId="0" fontId="42" fillId="0" borderId="0" applyNumberFormat="0" applyFont="0" applyAlignment="0">
      <protection/>
    </xf>
    <xf numFmtId="0" fontId="49" fillId="0" borderId="0" applyFill="0">
      <alignment horizontal="center" vertical="center" wrapText="1"/>
      <protection/>
    </xf>
    <xf numFmtId="0" fontId="50" fillId="0" borderId="0" applyFill="0">
      <alignment horizontal="center" vertical="center" wrapText="1"/>
      <protection/>
    </xf>
    <xf numFmtId="169" fontId="51" fillId="0" borderId="0" applyFill="0">
      <alignment/>
      <protection/>
    </xf>
    <xf numFmtId="0" fontId="42" fillId="0" borderId="0" applyNumberFormat="0" applyFont="0" applyAlignment="0">
      <protection/>
    </xf>
    <xf numFmtId="0" fontId="52" fillId="0" borderId="0">
      <alignment horizontal="center" wrapText="1"/>
      <protection/>
    </xf>
    <xf numFmtId="0" fontId="48" fillId="0" borderId="0" applyFill="0">
      <alignment horizontal="center" wrapText="1"/>
      <protection/>
    </xf>
    <xf numFmtId="38" fontId="53" fillId="0" borderId="3">
      <alignment horizontal="right"/>
      <protection/>
    </xf>
    <xf numFmtId="196" fontId="3" fillId="0" borderId="0" applyFill="0" applyBorder="0" applyAlignment="0">
      <protection/>
    </xf>
    <xf numFmtId="197" fontId="8" fillId="0" borderId="3">
      <alignment horizontal="center"/>
      <protection/>
    </xf>
    <xf numFmtId="0" fontId="177" fillId="50" borderId="9" applyNumberFormat="0" applyAlignment="0" applyProtection="0"/>
    <xf numFmtId="0" fontId="54" fillId="3" borderId="10" applyNumberFormat="0" applyAlignment="0" applyProtection="0"/>
    <xf numFmtId="0" fontId="177" fillId="50" borderId="9" applyNumberFormat="0" applyAlignment="0" applyProtection="0"/>
    <xf numFmtId="0" fontId="54" fillId="17" borderId="10" applyNumberFormat="0" applyAlignment="0" applyProtection="0"/>
    <xf numFmtId="0" fontId="54" fillId="3" borderId="10" applyNumberFormat="0" applyAlignment="0" applyProtection="0"/>
    <xf numFmtId="0" fontId="23" fillId="0" borderId="0">
      <alignment horizontal="centerContinuous"/>
      <protection/>
    </xf>
    <xf numFmtId="4" fontId="55" fillId="0" borderId="0" applyNumberFormat="0" applyFill="0" applyBorder="0">
      <alignment horizontal="right" wrapText="1"/>
      <protection/>
    </xf>
    <xf numFmtId="0" fontId="55" fillId="0" borderId="0" applyNumberFormat="0" applyFill="0" applyBorder="0">
      <alignment wrapText="1"/>
      <protection/>
    </xf>
    <xf numFmtId="0" fontId="55" fillId="0" borderId="0" applyNumberFormat="0" applyFill="0" applyBorder="0">
      <alignment wrapText="1"/>
      <protection/>
    </xf>
    <xf numFmtId="0" fontId="55" fillId="0" borderId="0" applyNumberFormat="0" applyFill="0" applyBorder="0">
      <alignment wrapText="1"/>
      <protection/>
    </xf>
    <xf numFmtId="198" fontId="55" fillId="0" borderId="0" applyNumberFormat="0" applyFill="0" applyBorder="0">
      <alignment horizontal="right" wrapText="1"/>
      <protection/>
    </xf>
    <xf numFmtId="0" fontId="55" fillId="0" borderId="0" applyNumberFormat="0" applyFill="0" applyBorder="0">
      <alignment wrapText="1"/>
      <protection/>
    </xf>
    <xf numFmtId="0" fontId="178" fillId="51" borderId="11" applyNumberFormat="0" applyAlignment="0" applyProtection="0"/>
    <xf numFmtId="0" fontId="56" fillId="52" borderId="12" applyNumberFormat="0" applyAlignment="0" applyProtection="0"/>
    <xf numFmtId="0" fontId="178" fillId="51" borderId="11" applyNumberFormat="0" applyAlignment="0" applyProtection="0"/>
    <xf numFmtId="0" fontId="56" fillId="52" borderId="12" applyNumberFormat="0" applyAlignment="0" applyProtection="0"/>
    <xf numFmtId="0" fontId="57" fillId="0" borderId="0" applyNumberFormat="0" applyFill="0" applyAlignment="0" applyProtection="0"/>
    <xf numFmtId="199" fontId="8" fillId="0" borderId="0">
      <alignment/>
      <protection/>
    </xf>
    <xf numFmtId="200" fontId="27" fillId="0" borderId="0">
      <alignment horizontal="center"/>
      <protection/>
    </xf>
    <xf numFmtId="3" fontId="58" fillId="0" borderId="0">
      <alignment horizontal="left"/>
      <protection/>
    </xf>
    <xf numFmtId="3" fontId="59" fillId="0" borderId="0">
      <alignment/>
      <protection/>
    </xf>
    <xf numFmtId="201" fontId="60" fillId="0" borderId="0">
      <alignment horizontal="center" wrapText="1"/>
      <protection/>
    </xf>
    <xf numFmtId="0" fontId="61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202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203" fontId="62" fillId="0" borderId="0">
      <alignment horizontal="right"/>
      <protection/>
    </xf>
    <xf numFmtId="203" fontId="63" fillId="0" borderId="0">
      <alignment horizontal="right"/>
      <protection/>
    </xf>
    <xf numFmtId="0" fontId="64" fillId="0" borderId="0">
      <alignment horizontal="left" indent="1"/>
      <protection/>
    </xf>
    <xf numFmtId="0" fontId="32" fillId="53" borderId="13" applyFont="0">
      <alignment wrapText="1"/>
      <protection/>
    </xf>
    <xf numFmtId="43" fontId="8" fillId="0" borderId="0" applyFont="0" applyFill="0" applyBorder="0" applyAlignment="0" applyProtection="0"/>
    <xf numFmtId="204" fontId="8" fillId="0" borderId="0">
      <alignment horizontal="right"/>
      <protection/>
    </xf>
    <xf numFmtId="204" fontId="6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32" fillId="0" borderId="0" applyFill="0" applyBorder="0">
      <alignment/>
      <protection locked="0"/>
    </xf>
    <xf numFmtId="172" fontId="4" fillId="0" borderId="0" applyFont="0" applyFill="0" applyBorder="0" applyAlignment="0">
      <protection/>
    </xf>
    <xf numFmtId="205" fontId="8" fillId="0" borderId="0" applyFont="0" applyFill="0" applyBorder="0" applyAlignment="0" applyProtection="0"/>
    <xf numFmtId="206" fontId="32" fillId="0" borderId="0" applyFill="0" applyBorder="0">
      <alignment/>
      <protection locked="0"/>
    </xf>
    <xf numFmtId="206" fontId="8" fillId="0" borderId="0" applyFill="0" applyBorder="0">
      <alignment/>
      <protection/>
    </xf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207" fontId="8" fillId="0" borderId="0" applyFont="0" applyFill="0" applyBorder="0" applyAlignment="0" applyProtection="0"/>
    <xf numFmtId="204" fontId="63" fillId="0" borderId="0">
      <alignment horizontal="right"/>
      <protection/>
    </xf>
    <xf numFmtId="208" fontId="8" fillId="0" borderId="0" applyFill="0" applyBorder="0">
      <alignment/>
      <protection/>
    </xf>
    <xf numFmtId="209" fontId="9" fillId="0" borderId="0" applyFill="0" applyBorder="0">
      <alignment/>
      <protection/>
    </xf>
    <xf numFmtId="210" fontId="26" fillId="0" borderId="0" applyFont="0" applyFill="0" applyBorder="0" applyAlignment="0" applyProtection="0"/>
    <xf numFmtId="0" fontId="8" fillId="0" borderId="3">
      <alignment horizontal="center"/>
      <protection/>
    </xf>
    <xf numFmtId="6" fontId="65" fillId="0" borderId="0">
      <alignment/>
      <protection locked="0"/>
    </xf>
    <xf numFmtId="211" fontId="66" fillId="0" borderId="0" applyFont="0" applyFill="0" applyBorder="0" applyAlignment="0" applyProtection="0"/>
    <xf numFmtId="212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13" fontId="67" fillId="0" borderId="0" applyFont="0" applyFill="0" applyBorder="0" applyAlignment="0" applyProtection="0"/>
    <xf numFmtId="15" fontId="32" fillId="0" borderId="0" applyFill="0" applyBorder="0">
      <alignment/>
      <protection locked="0"/>
    </xf>
    <xf numFmtId="15" fontId="68" fillId="0" borderId="0" applyFill="0" applyBorder="0">
      <alignment/>
      <protection/>
    </xf>
    <xf numFmtId="213" fontId="14" fillId="49" borderId="0">
      <alignment horizontal="center"/>
      <protection/>
    </xf>
    <xf numFmtId="214" fontId="32" fillId="0" borderId="0" applyFont="0" applyFill="0" applyBorder="0" applyAlignment="0" applyProtection="0"/>
    <xf numFmtId="215" fontId="69" fillId="0" borderId="0" applyFont="0" applyFill="0" applyBorder="0" applyAlignment="0" applyProtection="0"/>
    <xf numFmtId="216" fontId="8" fillId="0" borderId="0" applyFont="0" applyFill="0" applyBorder="0" applyAlignment="0" applyProtection="0"/>
    <xf numFmtId="165" fontId="50" fillId="54" borderId="0" applyNumberFormat="0" applyBorder="0" applyAlignment="0">
      <protection/>
    </xf>
    <xf numFmtId="217" fontId="8" fillId="0" borderId="0" applyFont="0" applyFill="0" applyBorder="0" applyAlignment="0">
      <protection/>
    </xf>
    <xf numFmtId="218" fontId="8" fillId="0" borderId="0" applyFont="0" applyFill="0" applyBorder="0" applyAlignment="0">
      <protection/>
    </xf>
    <xf numFmtId="2" fontId="32" fillId="0" borderId="0" applyFill="0" applyBorder="0">
      <alignment/>
      <protection locked="0"/>
    </xf>
    <xf numFmtId="2" fontId="8" fillId="0" borderId="0" applyFill="0" applyBorder="0">
      <alignment horizontal="right"/>
      <protection/>
    </xf>
    <xf numFmtId="219" fontId="8" fillId="0" borderId="0" applyFont="0" applyFill="0" applyBorder="0" applyAlignment="0" applyProtection="0"/>
    <xf numFmtId="220" fontId="32" fillId="0" borderId="0" applyFill="0" applyBorder="0">
      <alignment/>
      <protection locked="0"/>
    </xf>
    <xf numFmtId="220" fontId="8" fillId="0" borderId="0" applyFill="0" applyBorder="0">
      <alignment horizontal="right"/>
      <protection/>
    </xf>
    <xf numFmtId="0" fontId="70" fillId="0" borderId="0" applyNumberFormat="0">
      <alignment/>
      <protection/>
    </xf>
    <xf numFmtId="0" fontId="71" fillId="0" borderId="0">
      <alignment horizontal="centerContinuous"/>
      <protection/>
    </xf>
    <xf numFmtId="0" fontId="71" fillId="0" borderId="0" applyNumberFormat="0">
      <alignment/>
      <protection/>
    </xf>
    <xf numFmtId="4" fontId="8" fillId="0" borderId="0" applyProtection="0">
      <alignment/>
    </xf>
    <xf numFmtId="0" fontId="72" fillId="0" borderId="0">
      <alignment horizontal="left"/>
      <protection/>
    </xf>
    <xf numFmtId="0" fontId="50" fillId="53" borderId="0" applyNumberFormat="0" applyBorder="0" applyAlignment="0">
      <protection/>
    </xf>
    <xf numFmtId="204" fontId="4" fillId="0" borderId="0">
      <alignment horizontal="right"/>
      <protection/>
    </xf>
    <xf numFmtId="221" fontId="4" fillId="0" borderId="0">
      <alignment/>
      <protection/>
    </xf>
    <xf numFmtId="221" fontId="73" fillId="0" borderId="0">
      <alignment horizontal="right"/>
      <protection/>
    </xf>
    <xf numFmtId="0" fontId="8" fillId="54" borderId="3">
      <alignment horizontal="center"/>
      <protection/>
    </xf>
    <xf numFmtId="0" fontId="11" fillId="0" borderId="0">
      <alignment/>
      <protection hidden="1"/>
    </xf>
    <xf numFmtId="222" fontId="8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23" fontId="69" fillId="0" borderId="0" applyBorder="0">
      <alignment/>
      <protection/>
    </xf>
    <xf numFmtId="224" fontId="3" fillId="0" borderId="0" applyFont="0" applyFill="0" applyBorder="0" applyProtection="0">
      <alignment vertical="top"/>
    </xf>
    <xf numFmtId="0" fontId="8" fillId="0" borderId="0">
      <alignment/>
      <protection/>
    </xf>
    <xf numFmtId="225" fontId="8" fillId="0" borderId="0">
      <alignment/>
      <protection locked="0"/>
    </xf>
    <xf numFmtId="225" fontId="8" fillId="0" borderId="0">
      <alignment/>
      <protection locked="0"/>
    </xf>
    <xf numFmtId="225" fontId="8" fillId="0" borderId="0">
      <alignment/>
      <protection locked="0"/>
    </xf>
    <xf numFmtId="0" fontId="182" fillId="55" borderId="0" applyNumberFormat="0" applyBorder="0" applyAlignment="0" applyProtection="0"/>
    <xf numFmtId="0" fontId="75" fillId="10" borderId="0" applyNumberFormat="0" applyBorder="0" applyAlignment="0" applyProtection="0"/>
    <xf numFmtId="0" fontId="182" fillId="55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38" fontId="4" fillId="17" borderId="0" applyNumberFormat="0" applyBorder="0" applyAlignment="0" applyProtection="0"/>
    <xf numFmtId="9" fontId="32" fillId="9" borderId="0">
      <alignment horizontal="right"/>
      <protection locked="0"/>
    </xf>
    <xf numFmtId="0" fontId="8" fillId="56" borderId="0">
      <alignment/>
      <protection/>
    </xf>
    <xf numFmtId="0" fontId="76" fillId="0" borderId="0" applyNumberFormat="0" applyFill="0" applyBorder="0" applyAlignment="0" applyProtection="0"/>
    <xf numFmtId="0" fontId="41" fillId="0" borderId="14" applyNumberFormat="0" applyAlignment="0" applyProtection="0"/>
    <xf numFmtId="0" fontId="41" fillId="0" borderId="15">
      <alignment horizontal="left" vertical="center"/>
      <protection/>
    </xf>
    <xf numFmtId="0" fontId="41" fillId="0" borderId="0" applyNumberFormat="0" applyFill="0" applyBorder="0" applyAlignment="0" applyProtection="0"/>
    <xf numFmtId="226" fontId="36" fillId="57" borderId="0">
      <alignment horizontal="left"/>
      <protection/>
    </xf>
    <xf numFmtId="0" fontId="183" fillId="0" borderId="16" applyNumberFormat="0" applyFill="0" applyAlignment="0" applyProtection="0"/>
    <xf numFmtId="0" fontId="77" fillId="0" borderId="17" applyNumberFormat="0" applyFill="0" applyAlignment="0" applyProtection="0"/>
    <xf numFmtId="0" fontId="183" fillId="0" borderId="16" applyNumberFormat="0" applyFill="0" applyAlignment="0" applyProtection="0"/>
    <xf numFmtId="0" fontId="162" fillId="0" borderId="18" applyNumberFormat="0" applyFill="0" applyAlignment="0" applyProtection="0"/>
    <xf numFmtId="0" fontId="77" fillId="0" borderId="17" applyNumberFormat="0" applyFill="0" applyAlignment="0" applyProtection="0"/>
    <xf numFmtId="226" fontId="78" fillId="44" borderId="0">
      <alignment/>
      <protection/>
    </xf>
    <xf numFmtId="0" fontId="184" fillId="0" borderId="19" applyNumberFormat="0" applyFill="0" applyAlignment="0" applyProtection="0"/>
    <xf numFmtId="0" fontId="79" fillId="0" borderId="20" applyNumberFormat="0" applyFill="0" applyAlignment="0" applyProtection="0"/>
    <xf numFmtId="0" fontId="184" fillId="0" borderId="19" applyNumberFormat="0" applyFill="0" applyAlignment="0" applyProtection="0"/>
    <xf numFmtId="0" fontId="163" fillId="0" borderId="20" applyNumberFormat="0" applyFill="0" applyAlignment="0" applyProtection="0"/>
    <xf numFmtId="0" fontId="79" fillId="0" borderId="20" applyNumberFormat="0" applyFill="0" applyAlignment="0" applyProtection="0"/>
    <xf numFmtId="0" fontId="185" fillId="0" borderId="21" applyNumberFormat="0" applyFill="0" applyAlignment="0" applyProtection="0"/>
    <xf numFmtId="0" fontId="80" fillId="0" borderId="22" applyNumberFormat="0" applyFill="0" applyAlignment="0" applyProtection="0"/>
    <xf numFmtId="0" fontId="185" fillId="0" borderId="21" applyNumberFormat="0" applyFill="0" applyAlignment="0" applyProtection="0"/>
    <xf numFmtId="0" fontId="164" fillId="0" borderId="23" applyNumberFormat="0" applyFill="0" applyAlignment="0" applyProtection="0"/>
    <xf numFmtId="0" fontId="80" fillId="0" borderId="22" applyNumberFormat="0" applyFill="0" applyAlignment="0" applyProtection="0"/>
    <xf numFmtId="0" fontId="18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27" fontId="8" fillId="0" borderId="0">
      <alignment/>
      <protection locked="0"/>
    </xf>
    <xf numFmtId="227" fontId="8" fillId="0" borderId="0">
      <alignment/>
      <protection locked="0"/>
    </xf>
    <xf numFmtId="227" fontId="8" fillId="0" borderId="0">
      <alignment/>
      <protection locked="0"/>
    </xf>
    <xf numFmtId="227" fontId="8" fillId="0" borderId="0">
      <alignment/>
      <protection locked="0"/>
    </xf>
    <xf numFmtId="227" fontId="8" fillId="0" borderId="0">
      <alignment/>
      <protection locked="0"/>
    </xf>
    <xf numFmtId="227" fontId="8" fillId="0" borderId="0">
      <alignment/>
      <protection locked="0"/>
    </xf>
    <xf numFmtId="228" fontId="81" fillId="0" borderId="0">
      <alignment/>
      <protection/>
    </xf>
    <xf numFmtId="0" fontId="32" fillId="0" borderId="24" applyNumberFormat="0" applyFill="0" applyAlignment="0" applyProtection="0"/>
    <xf numFmtId="0" fontId="82" fillId="0" borderId="0">
      <alignment/>
      <protection/>
    </xf>
    <xf numFmtId="0" fontId="186" fillId="0" borderId="0" applyNumberFormat="0" applyFill="0" applyBorder="0" applyAlignment="0" applyProtection="0"/>
    <xf numFmtId="0" fontId="83" fillId="0" borderId="0" applyFill="0" applyBorder="0">
      <alignment horizontal="left" vertical="center"/>
      <protection locked="0"/>
    </xf>
    <xf numFmtId="0" fontId="84" fillId="0" borderId="0" applyFill="0" applyBorder="0" applyAlignment="0" applyProtection="0"/>
    <xf numFmtId="3" fontId="11" fillId="58" borderId="0">
      <alignment/>
      <protection/>
    </xf>
    <xf numFmtId="170" fontId="11" fillId="58" borderId="0">
      <alignment/>
      <protection/>
    </xf>
    <xf numFmtId="15" fontId="11" fillId="58" borderId="0">
      <alignment/>
      <protection/>
    </xf>
    <xf numFmtId="0" fontId="187" fillId="59" borderId="9" applyNumberFormat="0" applyAlignment="0" applyProtection="0"/>
    <xf numFmtId="229" fontId="85" fillId="0" borderId="25">
      <alignment/>
      <protection/>
    </xf>
    <xf numFmtId="230" fontId="85" fillId="0" borderId="25">
      <alignment/>
      <protection/>
    </xf>
    <xf numFmtId="229" fontId="85" fillId="0" borderId="25">
      <alignment/>
      <protection/>
    </xf>
    <xf numFmtId="15" fontId="85" fillId="0" borderId="25">
      <alignment/>
      <protection/>
    </xf>
    <xf numFmtId="231" fontId="85" fillId="0" borderId="25">
      <alignment/>
      <protection/>
    </xf>
    <xf numFmtId="15" fontId="31" fillId="6" borderId="26">
      <alignment/>
      <protection/>
    </xf>
    <xf numFmtId="232" fontId="31" fillId="9" borderId="26">
      <alignment/>
      <protection/>
    </xf>
    <xf numFmtId="10" fontId="4" fillId="60" borderId="3" applyNumberFormat="0" applyBorder="0" applyAlignment="0" applyProtection="0"/>
    <xf numFmtId="0" fontId="86" fillId="6" borderId="10" applyNumberFormat="0" applyAlignment="0" applyProtection="0"/>
    <xf numFmtId="0" fontId="187" fillId="59" borderId="9" applyNumberFormat="0" applyAlignment="0" applyProtection="0"/>
    <xf numFmtId="0" fontId="86" fillId="6" borderId="10" applyNumberFormat="0" applyAlignment="0" applyProtection="0"/>
    <xf numFmtId="0" fontId="188" fillId="59" borderId="9" applyNumberFormat="0" applyAlignment="0" applyProtection="0"/>
    <xf numFmtId="3" fontId="11" fillId="58" borderId="0">
      <alignment/>
      <protection/>
    </xf>
    <xf numFmtId="165" fontId="11" fillId="58" borderId="0">
      <alignment/>
      <protection/>
    </xf>
    <xf numFmtId="170" fontId="11" fillId="58" borderId="0">
      <alignment/>
      <protection/>
    </xf>
    <xf numFmtId="4" fontId="11" fillId="58" borderId="0">
      <alignment/>
      <protection/>
    </xf>
    <xf numFmtId="10" fontId="11" fillId="58" borderId="0">
      <alignment/>
      <protection/>
    </xf>
    <xf numFmtId="0" fontId="32" fillId="53" borderId="13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8" fontId="87" fillId="0" borderId="0">
      <alignment/>
      <protection/>
    </xf>
    <xf numFmtId="38" fontId="88" fillId="0" borderId="0">
      <alignment/>
      <protection/>
    </xf>
    <xf numFmtId="38" fontId="89" fillId="0" borderId="0">
      <alignment/>
      <protection/>
    </xf>
    <xf numFmtId="38" fontId="9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" fillId="0" borderId="0">
      <alignment/>
      <protection/>
    </xf>
    <xf numFmtId="0" fontId="46" fillId="54" borderId="0" applyNumberFormat="0" applyFont="0" applyBorder="0" applyAlignment="0" applyProtection="0"/>
    <xf numFmtId="0" fontId="189" fillId="0" borderId="27" applyNumberFormat="0" applyFill="0" applyAlignment="0" applyProtection="0"/>
    <xf numFmtId="0" fontId="92" fillId="0" borderId="28" applyNumberFormat="0" applyFill="0" applyAlignment="0" applyProtection="0"/>
    <xf numFmtId="0" fontId="189" fillId="0" borderId="27" applyNumberFormat="0" applyFill="0" applyAlignment="0" applyProtection="0"/>
    <xf numFmtId="0" fontId="92" fillId="0" borderId="28" applyNumberFormat="0" applyFill="0" applyAlignment="0" applyProtection="0"/>
    <xf numFmtId="165" fontId="50" fillId="61" borderId="0" applyNumberFormat="0" applyBorder="0" applyAlignment="0">
      <protection locked="0"/>
    </xf>
    <xf numFmtId="4" fontId="93" fillId="62" borderId="0">
      <alignment vertical="top"/>
      <protection locked="0"/>
    </xf>
    <xf numFmtId="233" fontId="8" fillId="0" borderId="0">
      <alignment/>
      <protection/>
    </xf>
    <xf numFmtId="0" fontId="8" fillId="0" borderId="0" applyNumberFormat="0" applyFill="0" applyBorder="0" applyAlignment="0" applyProtection="0"/>
    <xf numFmtId="234" fontId="91" fillId="0" borderId="0" applyFont="0" applyFill="0" applyBorder="0" applyAlignment="0" applyProtection="0"/>
    <xf numFmtId="0" fontId="94" fillId="63" borderId="0">
      <alignment horizontal="right"/>
      <protection/>
    </xf>
    <xf numFmtId="0" fontId="95" fillId="64" borderId="0">
      <alignment/>
      <protection/>
    </xf>
    <xf numFmtId="9" fontId="96" fillId="0" borderId="29" applyNumberFormat="0" applyProtection="0">
      <alignment horizontal="right"/>
    </xf>
    <xf numFmtId="235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190" fillId="65" borderId="0" applyNumberFormat="0" applyBorder="0" applyAlignment="0" applyProtection="0"/>
    <xf numFmtId="0" fontId="97" fillId="9" borderId="0" applyNumberFormat="0" applyBorder="0" applyAlignment="0" applyProtection="0"/>
    <xf numFmtId="0" fontId="190" fillId="65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237" fontId="9" fillId="0" borderId="15">
      <alignment/>
      <protection/>
    </xf>
    <xf numFmtId="238" fontId="98" fillId="0" borderId="0">
      <alignment/>
      <protection/>
    </xf>
    <xf numFmtId="37" fontId="99" fillId="0" borderId="0">
      <alignment/>
      <protection/>
    </xf>
    <xf numFmtId="37" fontId="99" fillId="0" borderId="0">
      <alignment/>
      <protection/>
    </xf>
    <xf numFmtId="37" fontId="99" fillId="0" borderId="0">
      <alignment/>
      <protection/>
    </xf>
    <xf numFmtId="38" fontId="100" fillId="0" borderId="0" applyBorder="0">
      <alignment/>
      <protection/>
    </xf>
    <xf numFmtId="0" fontId="8" fillId="0" borderId="0">
      <alignment/>
      <protection/>
    </xf>
    <xf numFmtId="0" fontId="174" fillId="0" borderId="0">
      <alignment/>
      <protection/>
    </xf>
    <xf numFmtId="38" fontId="81" fillId="0" borderId="0">
      <alignment/>
      <protection locked="0"/>
    </xf>
    <xf numFmtId="239" fontId="8" fillId="0" borderId="0">
      <alignment/>
      <protection/>
    </xf>
    <xf numFmtId="239" fontId="8" fillId="0" borderId="0">
      <alignment/>
      <protection/>
    </xf>
    <xf numFmtId="239" fontId="8" fillId="0" borderId="0">
      <alignment/>
      <protection/>
    </xf>
    <xf numFmtId="171" fontId="8" fillId="0" borderId="0">
      <alignment horizontal="left" wrapText="1"/>
      <protection/>
    </xf>
    <xf numFmtId="0" fontId="0" fillId="0" borderId="0">
      <alignment/>
      <protection/>
    </xf>
    <xf numFmtId="171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40" fontId="18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40" fontId="180" fillId="0" borderId="0">
      <alignment/>
      <protection/>
    </xf>
    <xf numFmtId="171" fontId="8" fillId="0" borderId="0">
      <alignment horizontal="left" wrapText="1"/>
      <protection/>
    </xf>
    <xf numFmtId="0" fontId="8" fillId="0" borderId="0">
      <alignment/>
      <protection/>
    </xf>
    <xf numFmtId="171" fontId="8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1" fontId="8" fillId="0" borderId="0">
      <alignment/>
      <protection/>
    </xf>
    <xf numFmtId="0" fontId="10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1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40" fontId="8" fillId="0" borderId="0">
      <alignment/>
      <protection/>
    </xf>
    <xf numFmtId="0" fontId="8" fillId="0" borderId="0">
      <alignment/>
      <protection/>
    </xf>
    <xf numFmtId="240" fontId="8" fillId="0" borderId="0">
      <alignment/>
      <protection/>
    </xf>
    <xf numFmtId="171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79" fillId="0" borderId="0">
      <alignment/>
      <protection/>
    </xf>
    <xf numFmtId="0" fontId="179" fillId="0" borderId="0">
      <alignment/>
      <protection/>
    </xf>
    <xf numFmtId="0" fontId="179" fillId="0" borderId="0">
      <alignment/>
      <protection/>
    </xf>
    <xf numFmtId="0" fontId="32" fillId="0" borderId="0" applyFill="0" applyBorder="0">
      <alignment/>
      <protection locked="0"/>
    </xf>
    <xf numFmtId="0" fontId="46" fillId="66" borderId="0" applyBorder="0" applyAlignment="0">
      <protection/>
    </xf>
    <xf numFmtId="0" fontId="46" fillId="66" borderId="0" applyBorder="0" applyAlignment="0">
      <protection/>
    </xf>
    <xf numFmtId="0" fontId="0" fillId="67" borderId="30" applyNumberFormat="0" applyFont="0" applyAlignment="0" applyProtection="0"/>
    <xf numFmtId="0" fontId="8" fillId="9" borderId="31" applyNumberFormat="0" applyFont="0" applyAlignment="0" applyProtection="0"/>
    <xf numFmtId="0" fontId="0" fillId="67" borderId="30" applyNumberFormat="0" applyFont="0" applyAlignment="0" applyProtection="0"/>
    <xf numFmtId="0" fontId="45" fillId="60" borderId="31" applyNumberFormat="0" applyFont="0" applyAlignment="0" applyProtection="0"/>
    <xf numFmtId="0" fontId="8" fillId="9" borderId="31" applyNumberFormat="0" applyFont="0" applyAlignment="0" applyProtection="0"/>
    <xf numFmtId="0" fontId="8" fillId="0" borderId="0" applyFont="0" applyFill="0" applyBorder="0" applyAlignment="0" applyProtection="0"/>
    <xf numFmtId="15" fontId="8" fillId="0" borderId="0">
      <alignment/>
      <protection/>
    </xf>
    <xf numFmtId="0" fontId="191" fillId="50" borderId="32" applyNumberFormat="0" applyAlignment="0" applyProtection="0"/>
    <xf numFmtId="0" fontId="103" fillId="3" borderId="33" applyNumberFormat="0" applyAlignment="0" applyProtection="0"/>
    <xf numFmtId="0" fontId="191" fillId="50" borderId="32" applyNumberFormat="0" applyAlignment="0" applyProtection="0"/>
    <xf numFmtId="0" fontId="103" fillId="17" borderId="33" applyNumberFormat="0" applyAlignment="0" applyProtection="0"/>
    <xf numFmtId="0" fontId="103" fillId="3" borderId="33" applyNumberFormat="0" applyAlignment="0" applyProtection="0"/>
    <xf numFmtId="237" fontId="3" fillId="64" borderId="0">
      <alignment horizontal="right"/>
      <protection/>
    </xf>
    <xf numFmtId="0" fontId="104" fillId="54" borderId="0">
      <alignment horizontal="center"/>
      <protection/>
    </xf>
    <xf numFmtId="0" fontId="14" fillId="58" borderId="0">
      <alignment/>
      <protection/>
    </xf>
    <xf numFmtId="0" fontId="105" fillId="64" borderId="0" applyBorder="0">
      <alignment horizontal="centerContinuous"/>
      <protection/>
    </xf>
    <xf numFmtId="0" fontId="106" fillId="58" borderId="0" applyBorder="0">
      <alignment horizontal="centerContinuous"/>
      <protection/>
    </xf>
    <xf numFmtId="38" fontId="8" fillId="0" borderId="0">
      <alignment/>
      <protection/>
    </xf>
    <xf numFmtId="225" fontId="8" fillId="0" borderId="0">
      <alignment/>
      <protection/>
    </xf>
    <xf numFmtId="10" fontId="8" fillId="0" borderId="0">
      <alignment/>
      <protection/>
    </xf>
    <xf numFmtId="241" fontId="8" fillId="0" borderId="0">
      <alignment/>
      <protection/>
    </xf>
    <xf numFmtId="242" fontId="8" fillId="0" borderId="0">
      <alignment/>
      <protection/>
    </xf>
    <xf numFmtId="220" fontId="8" fillId="0" borderId="0">
      <alignment/>
      <protection/>
    </xf>
    <xf numFmtId="0" fontId="8" fillId="0" borderId="0" applyNumberFormat="0" applyFont="0" applyBorder="0" applyAlignment="0">
      <protection/>
    </xf>
    <xf numFmtId="0" fontId="8" fillId="68" borderId="0" applyNumberFormat="0" applyFont="0" applyBorder="0" applyAlignment="0" applyProtection="0"/>
    <xf numFmtId="0" fontId="58" fillId="0" borderId="34" applyNumberFormat="0" applyAlignment="0" applyProtection="0"/>
    <xf numFmtId="0" fontId="27" fillId="10" borderId="0" applyNumberFormat="0" applyFont="0" applyBorder="0" applyAlignment="0" applyProtection="0"/>
    <xf numFmtId="0" fontId="4" fillId="53" borderId="35" applyNumberFormat="0" applyFont="0" applyBorder="0" applyAlignment="0" applyProtection="0"/>
    <xf numFmtId="0" fontId="4" fillId="18" borderId="35" applyNumberFormat="0" applyFont="0" applyBorder="0" applyAlignment="0" applyProtection="0"/>
    <xf numFmtId="0" fontId="27" fillId="0" borderId="36" applyNumberFormat="0" applyAlignment="0" applyProtection="0"/>
    <xf numFmtId="0" fontId="27" fillId="0" borderId="37" applyNumberFormat="0" applyAlignment="0" applyProtection="0"/>
    <xf numFmtId="0" fontId="58" fillId="0" borderId="3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231" fontId="32" fillId="0" borderId="0" applyFill="0" applyBorder="0">
      <alignment/>
      <protection locked="0"/>
    </xf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8" fillId="0" borderId="0" applyNumberFormat="0" applyFill="0" applyBorder="0" applyProtection="0">
      <alignment horizontal="right"/>
    </xf>
    <xf numFmtId="4" fontId="72" fillId="0" borderId="0">
      <alignment horizontal="right"/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109" fillId="0" borderId="39">
      <alignment horizontal="center"/>
      <protection/>
    </xf>
    <xf numFmtId="3" fontId="23" fillId="0" borderId="0" applyFont="0" applyFill="0" applyBorder="0" applyAlignment="0" applyProtection="0"/>
    <xf numFmtId="0" fontId="23" fillId="69" borderId="0" applyNumberFormat="0" applyFont="0" applyBorder="0" applyAlignment="0" applyProtection="0"/>
    <xf numFmtId="4" fontId="8" fillId="17" borderId="0" applyFill="0">
      <alignment/>
      <protection/>
    </xf>
    <xf numFmtId="0" fontId="110" fillId="0" borderId="0">
      <alignment horizontal="left" indent="7"/>
      <protection/>
    </xf>
    <xf numFmtId="0" fontId="8" fillId="0" borderId="0" applyFill="0">
      <alignment horizontal="left" indent="1"/>
      <protection/>
    </xf>
    <xf numFmtId="169" fontId="111" fillId="0" borderId="4" applyFill="0">
      <alignment horizontal="right"/>
      <protection/>
    </xf>
    <xf numFmtId="0" fontId="9" fillId="0" borderId="3" applyNumberFormat="0" applyFont="0" applyBorder="0">
      <alignment horizontal="right"/>
      <protection/>
    </xf>
    <xf numFmtId="0" fontId="112" fillId="0" borderId="0" applyFill="0">
      <alignment/>
      <protection/>
    </xf>
    <xf numFmtId="0" fontId="41" fillId="0" borderId="0" applyFill="0">
      <alignment/>
      <protection/>
    </xf>
    <xf numFmtId="4" fontId="111" fillId="0" borderId="4" applyFill="0">
      <alignment/>
      <protection/>
    </xf>
    <xf numFmtId="0" fontId="8" fillId="0" borderId="0" applyNumberFormat="0" applyFont="0" applyBorder="0" applyAlignment="0">
      <protection/>
    </xf>
    <xf numFmtId="0" fontId="43" fillId="0" borderId="0" applyFill="0">
      <alignment horizontal="left"/>
      <protection/>
    </xf>
    <xf numFmtId="0" fontId="113" fillId="0" borderId="0" applyFill="0">
      <alignment horizontal="left"/>
      <protection/>
    </xf>
    <xf numFmtId="4" fontId="46" fillId="0" borderId="0" applyFill="0">
      <alignment/>
      <protection/>
    </xf>
    <xf numFmtId="0" fontId="8" fillId="0" borderId="0" applyNumberFormat="0" applyFont="0" applyFill="0" applyBorder="0" applyAlignment="0">
      <protection/>
    </xf>
    <xf numFmtId="0" fontId="43" fillId="0" borderId="0" applyFill="0">
      <alignment horizontal="left"/>
      <protection/>
    </xf>
    <xf numFmtId="0" fontId="41" fillId="0" borderId="0" applyFill="0">
      <alignment horizontal="left"/>
      <protection/>
    </xf>
    <xf numFmtId="4" fontId="46" fillId="0" borderId="0" applyFill="0">
      <alignment/>
      <protection/>
    </xf>
    <xf numFmtId="0" fontId="8" fillId="0" borderId="0" applyNumberFormat="0" applyFont="0" applyBorder="0" applyAlignment="0">
      <protection/>
    </xf>
    <xf numFmtId="0" fontId="114" fillId="0" borderId="0">
      <alignment horizontal="left"/>
      <protection/>
    </xf>
    <xf numFmtId="0" fontId="6" fillId="0" borderId="0" applyFill="0">
      <alignment horizontal="left"/>
      <protection/>
    </xf>
    <xf numFmtId="237" fontId="46" fillId="0" borderId="0" applyFill="0">
      <alignment/>
      <protection/>
    </xf>
    <xf numFmtId="0" fontId="8" fillId="0" borderId="0" applyNumberFormat="0" applyFont="0" applyBorder="0" applyAlignment="0">
      <protection/>
    </xf>
    <xf numFmtId="0" fontId="47" fillId="0" borderId="0">
      <alignment horizontal="left"/>
      <protection/>
    </xf>
    <xf numFmtId="0" fontId="8" fillId="0" borderId="0" applyFill="0">
      <alignment horizontal="left"/>
      <protection/>
    </xf>
    <xf numFmtId="4" fontId="48" fillId="0" borderId="0" applyFill="0">
      <alignment/>
      <protection/>
    </xf>
    <xf numFmtId="0" fontId="8" fillId="0" borderId="0" applyNumberFormat="0" applyFont="0" applyBorder="0" applyAlignment="0">
      <protection/>
    </xf>
    <xf numFmtId="0" fontId="49" fillId="0" borderId="0">
      <alignment horizontal="left"/>
      <protection/>
    </xf>
    <xf numFmtId="0" fontId="50" fillId="0" borderId="0" applyFill="0">
      <alignment horizontal="left"/>
      <protection/>
    </xf>
    <xf numFmtId="4" fontId="51" fillId="0" borderId="0" applyFill="0">
      <alignment/>
      <protection/>
    </xf>
    <xf numFmtId="0" fontId="8" fillId="0" borderId="0" applyNumberFormat="0" applyFont="0" applyFill="0" applyBorder="0" applyAlignment="0">
      <protection/>
    </xf>
    <xf numFmtId="0" fontId="52" fillId="0" borderId="0" applyFill="0">
      <alignment horizontal="left"/>
      <protection/>
    </xf>
    <xf numFmtId="0" fontId="48" fillId="0" borderId="0" applyFill="0">
      <alignment horizontal="left"/>
      <protection/>
    </xf>
    <xf numFmtId="0" fontId="8" fillId="0" borderId="0">
      <alignment horizontal="right"/>
      <protection/>
    </xf>
    <xf numFmtId="2" fontId="46" fillId="18" borderId="3">
      <alignment horizontal="center"/>
      <protection/>
    </xf>
    <xf numFmtId="165" fontId="8" fillId="70" borderId="3">
      <alignment horizontal="center" vertical="center"/>
      <protection/>
    </xf>
    <xf numFmtId="4" fontId="115" fillId="0" borderId="0">
      <alignment horizontal="right"/>
      <protection/>
    </xf>
    <xf numFmtId="243" fontId="9" fillId="0" borderId="0">
      <alignment horizontal="right"/>
      <protection/>
    </xf>
    <xf numFmtId="0" fontId="116" fillId="0" borderId="40" applyNumberFormat="0" applyAlignment="0">
      <protection/>
    </xf>
    <xf numFmtId="244" fontId="32" fillId="0" borderId="3">
      <alignment horizontal="right"/>
      <protection/>
    </xf>
    <xf numFmtId="0" fontId="117" fillId="0" borderId="0">
      <alignment/>
      <protection/>
    </xf>
    <xf numFmtId="0" fontId="118" fillId="0" borderId="0">
      <alignment horizontal="left"/>
      <protection/>
    </xf>
    <xf numFmtId="3" fontId="119" fillId="71" borderId="0">
      <alignment vertical="center"/>
      <protection locked="0"/>
    </xf>
    <xf numFmtId="3" fontId="8" fillId="0" borderId="0">
      <alignment/>
      <protection/>
    </xf>
    <xf numFmtId="0" fontId="120" fillId="0" borderId="0">
      <alignment horizontal="right"/>
      <protection/>
    </xf>
    <xf numFmtId="166" fontId="8" fillId="0" borderId="0">
      <alignment horizontal="left" wrapText="1"/>
      <protection/>
    </xf>
    <xf numFmtId="171" fontId="8" fillId="0" borderId="0">
      <alignment horizontal="left" wrapText="1"/>
      <protection/>
    </xf>
    <xf numFmtId="0" fontId="7" fillId="0" borderId="0" applyNumberFormat="0" applyFill="0" applyBorder="0" applyAlignment="0" applyProtection="0"/>
    <xf numFmtId="0" fontId="9" fillId="38" borderId="0" applyNumberFormat="0" applyBorder="0" applyProtection="0">
      <alignment wrapText="1"/>
    </xf>
    <xf numFmtId="0" fontId="9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vertical="top" wrapText="1"/>
    </xf>
    <xf numFmtId="0" fontId="10" fillId="0" borderId="0" applyNumberFormat="0" applyFill="0" applyBorder="0" applyAlignment="0" applyProtection="0"/>
    <xf numFmtId="0" fontId="8" fillId="0" borderId="41" applyNumberFormat="0" applyFont="0" applyFill="0" applyAlignment="0" applyProtection="0"/>
    <xf numFmtId="0" fontId="8" fillId="0" borderId="42" applyNumberFormat="0" applyFont="0" applyFill="0" applyAlignment="0" applyProtection="0"/>
    <xf numFmtId="0" fontId="8" fillId="0" borderId="43" applyNumberFormat="0" applyFont="0" applyFill="0" applyAlignment="0" applyProtection="0"/>
    <xf numFmtId="0" fontId="11" fillId="72" borderId="44" applyNumberFormat="0" applyAlignment="0" applyProtection="0"/>
    <xf numFmtId="0" fontId="11" fillId="73" borderId="45" applyNumberFormat="0" applyAlignment="0" applyProtection="0"/>
    <xf numFmtId="0" fontId="8" fillId="74" borderId="46" applyNumberFormat="0" applyFont="0" applyAlignment="0" applyProtection="0"/>
    <xf numFmtId="0" fontId="8" fillId="75" borderId="47" applyNumberFormat="0" applyFont="0" applyAlignment="0" applyProtection="0"/>
    <xf numFmtId="0" fontId="8" fillId="42" borderId="48" applyNumberFormat="0" applyFont="0" applyAlignment="0" applyProtection="0"/>
    <xf numFmtId="0" fontId="8" fillId="76" borderId="49" applyNumberFormat="0" applyFont="0" applyAlignment="0" applyProtection="0"/>
    <xf numFmtId="0" fontId="8" fillId="64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50" applyNumberFormat="0" applyFill="0" applyAlignment="0" applyProtection="0"/>
    <xf numFmtId="0" fontId="14" fillId="71" borderId="0" applyNumberFormat="0" applyBorder="0" applyAlignment="0" applyProtection="0"/>
    <xf numFmtId="0" fontId="121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198" fontId="123" fillId="0" borderId="0">
      <alignment/>
      <protection/>
    </xf>
    <xf numFmtId="41" fontId="31" fillId="9" borderId="0">
      <alignment horizontal="center"/>
      <protection locked="0"/>
    </xf>
    <xf numFmtId="0" fontId="28" fillId="0" borderId="0">
      <alignment/>
      <protection/>
    </xf>
    <xf numFmtId="0" fontId="124" fillId="0" borderId="0" applyFill="0" applyBorder="0">
      <alignment horizontal="center"/>
      <protection/>
    </xf>
    <xf numFmtId="0" fontId="55" fillId="0" borderId="0" applyNumberFormat="0" applyFill="0" applyBorder="0">
      <alignment horizontal="left" wrapText="1"/>
      <protection/>
    </xf>
    <xf numFmtId="0" fontId="125" fillId="0" borderId="0" applyNumberFormat="0" applyFill="0" applyBorder="0">
      <alignment horizontal="center" wrapText="1"/>
      <protection/>
    </xf>
    <xf numFmtId="0" fontId="125" fillId="0" borderId="0" applyNumberFormat="0" applyFill="0" applyBorder="0">
      <alignment horizontal="left" wrapText="1"/>
      <protection/>
    </xf>
    <xf numFmtId="0" fontId="125" fillId="0" borderId="0" applyNumberFormat="0" applyFill="0" applyBorder="0">
      <alignment horizontal="right" wrapText="1"/>
      <protection/>
    </xf>
    <xf numFmtId="0" fontId="55" fillId="0" borderId="0" applyNumberFormat="0" applyFill="0" applyBorder="0">
      <alignment horizontal="right" wrapText="1"/>
      <protection/>
    </xf>
    <xf numFmtId="0" fontId="55" fillId="0" borderId="0" applyNumberFormat="0" applyFill="0" applyBorder="0">
      <alignment horizontal="left" wrapText="1"/>
      <protection/>
    </xf>
    <xf numFmtId="0" fontId="55" fillId="0" borderId="0" applyNumberFormat="0" applyFill="0" applyBorder="0">
      <alignment horizontal="right" wrapText="1"/>
      <protection/>
    </xf>
    <xf numFmtId="0" fontId="125" fillId="0" borderId="0" applyNumberFormat="0" applyFill="0" applyBorder="0">
      <alignment horizontal="center" wrapText="1"/>
      <protection/>
    </xf>
    <xf numFmtId="0" fontId="126" fillId="0" borderId="0" applyNumberFormat="0" applyFill="0" applyBorder="0">
      <alignment horizontal="left" wrapText="1"/>
      <protection/>
    </xf>
    <xf numFmtId="0" fontId="55" fillId="0" borderId="0" applyNumberFormat="0" applyFill="0" applyBorder="0">
      <alignment horizontal="left" wrapText="1"/>
      <protection/>
    </xf>
    <xf numFmtId="0" fontId="55" fillId="0" borderId="0" applyNumberFormat="0" applyFill="0" applyBorder="0">
      <alignment horizontal="left" wrapText="1"/>
      <protection/>
    </xf>
    <xf numFmtId="0" fontId="55" fillId="0" borderId="0" applyNumberFormat="0" applyFill="0" applyBorder="0">
      <alignment horizontal="right" wrapText="1"/>
      <protection/>
    </xf>
    <xf numFmtId="0" fontId="125" fillId="0" borderId="0" applyNumberFormat="0" applyFill="0" applyBorder="0">
      <alignment horizontal="left" wrapText="1"/>
      <protection/>
    </xf>
    <xf numFmtId="0" fontId="126" fillId="0" borderId="0" applyNumberFormat="0" applyFill="0" applyBorder="0">
      <alignment horizontal="left" wrapText="1"/>
      <protection/>
    </xf>
    <xf numFmtId="0" fontId="127" fillId="40" borderId="0" applyNumberFormat="0" applyBorder="0" applyAlignment="0" applyProtection="0"/>
    <xf numFmtId="245" fontId="128" fillId="0" borderId="0">
      <alignment/>
      <protection/>
    </xf>
    <xf numFmtId="245" fontId="67" fillId="0" borderId="0" applyFont="0" applyFill="0" applyBorder="0" applyProtection="0">
      <alignment/>
    </xf>
    <xf numFmtId="221" fontId="100" fillId="0" borderId="0" applyFill="0" applyBorder="0">
      <alignment/>
      <protection/>
    </xf>
    <xf numFmtId="0" fontId="2" fillId="64" borderId="3">
      <alignment horizontal="center"/>
      <protection/>
    </xf>
    <xf numFmtId="0" fontId="19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57" borderId="0">
      <alignment/>
      <protection/>
    </xf>
    <xf numFmtId="246" fontId="19" fillId="0" borderId="0">
      <alignment/>
      <protection/>
    </xf>
    <xf numFmtId="191" fontId="131" fillId="0" borderId="0">
      <alignment/>
      <protection/>
    </xf>
    <xf numFmtId="246" fontId="131" fillId="0" borderId="0">
      <alignment/>
      <protection/>
    </xf>
    <xf numFmtId="0" fontId="193" fillId="0" borderId="51" applyNumberFormat="0" applyFill="0" applyAlignment="0" applyProtection="0"/>
    <xf numFmtId="189" fontId="9" fillId="0" borderId="15" applyFill="0">
      <alignment/>
      <protection/>
    </xf>
    <xf numFmtId="227" fontId="8" fillId="0" borderId="52">
      <alignment/>
      <protection locked="0"/>
    </xf>
    <xf numFmtId="0" fontId="193" fillId="0" borderId="51" applyNumberFormat="0" applyFill="0" applyAlignment="0" applyProtection="0"/>
    <xf numFmtId="0" fontId="144" fillId="0" borderId="53" applyNumberFormat="0" applyFill="0" applyAlignment="0" applyProtection="0"/>
    <xf numFmtId="227" fontId="8" fillId="0" borderId="52">
      <alignment/>
      <protection locked="0"/>
    </xf>
    <xf numFmtId="189" fontId="8" fillId="0" borderId="8" applyFill="0">
      <alignment/>
      <protection/>
    </xf>
    <xf numFmtId="194" fontId="132" fillId="0" borderId="0">
      <alignment/>
      <protection/>
    </xf>
    <xf numFmtId="19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44" fontId="32" fillId="10" borderId="3">
      <alignment horizontal="right"/>
      <protection/>
    </xf>
    <xf numFmtId="0" fontId="133" fillId="0" borderId="0">
      <alignment horizontal="center"/>
      <protection/>
    </xf>
    <xf numFmtId="37" fontId="4" fillId="9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9" borderId="0" applyNumberFormat="0" applyBorder="0" applyAlignment="0" applyProtection="0"/>
    <xf numFmtId="3" fontId="134" fillId="0" borderId="24" applyProtection="0">
      <alignment/>
    </xf>
    <xf numFmtId="0" fontId="28" fillId="0" borderId="0">
      <alignment/>
      <protection/>
    </xf>
    <xf numFmtId="244" fontId="32" fillId="0" borderId="3">
      <alignment horizontal="right"/>
      <protection/>
    </xf>
    <xf numFmtId="247" fontId="32" fillId="12" borderId="0" applyBorder="0">
      <alignment/>
      <protection/>
    </xf>
    <xf numFmtId="248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69" fillId="0" borderId="0" applyNumberFormat="0" applyFill="0" applyBorder="0">
      <alignment/>
      <protection/>
    </xf>
    <xf numFmtId="0" fontId="19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249" fontId="26" fillId="0" borderId="0">
      <alignment/>
      <protection/>
    </xf>
    <xf numFmtId="250" fontId="8" fillId="0" borderId="0" applyFont="0" applyFill="0" applyBorder="0" applyAlignment="0" applyProtection="0"/>
    <xf numFmtId="251" fontId="81" fillId="0" borderId="0" applyFont="0" applyFill="0" applyBorder="0" applyAlignment="0" applyProtection="0"/>
    <xf numFmtId="0" fontId="136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07" fillId="0" borderId="0">
      <alignment vertical="center"/>
      <protection/>
    </xf>
    <xf numFmtId="0" fontId="137" fillId="0" borderId="0" applyNumberFormat="0" applyFill="0" applyBorder="0" applyAlignment="0" applyProtection="0"/>
    <xf numFmtId="252" fontId="138" fillId="0" borderId="3">
      <alignment horizontal="right"/>
      <protection/>
    </xf>
    <xf numFmtId="44" fontId="8" fillId="0" borderId="0" applyFont="0" applyFill="0" applyBorder="0" applyAlignment="0" applyProtection="0"/>
  </cellStyleXfs>
  <cellXfs count="618"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193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39" xfId="0" applyBorder="1" applyAlignment="1">
      <alignment/>
    </xf>
    <xf numFmtId="0" fontId="0" fillId="0" borderId="58" xfId="0" applyBorder="1" applyAlignment="1">
      <alignment/>
    </xf>
    <xf numFmtId="0" fontId="195" fillId="0" borderId="0" xfId="0" applyFont="1" applyAlignment="1">
      <alignment/>
    </xf>
    <xf numFmtId="0" fontId="196" fillId="0" borderId="59" xfId="0" applyFont="1" applyBorder="1" applyAlignment="1">
      <alignment/>
    </xf>
    <xf numFmtId="0" fontId="0" fillId="0" borderId="60" xfId="0" applyBorder="1" applyAlignment="1">
      <alignment/>
    </xf>
    <xf numFmtId="256" fontId="0" fillId="0" borderId="0" xfId="0" applyNumberFormat="1" applyBorder="1" applyAlignment="1">
      <alignment/>
    </xf>
    <xf numFmtId="166" fontId="0" fillId="0" borderId="61" xfId="0" applyNumberFormat="1" applyBorder="1" applyAlignment="1">
      <alignment/>
    </xf>
    <xf numFmtId="44" fontId="0" fillId="0" borderId="8" xfId="0" applyNumberFormat="1" applyBorder="1" applyAlignment="1">
      <alignment/>
    </xf>
    <xf numFmtId="164" fontId="0" fillId="0" borderId="62" xfId="609" applyNumberFormat="1" applyFont="1" applyBorder="1" applyAlignment="1">
      <alignment/>
    </xf>
    <xf numFmtId="0" fontId="193" fillId="0" borderId="8" xfId="0" applyFont="1" applyBorder="1" applyAlignment="1">
      <alignment/>
    </xf>
    <xf numFmtId="0" fontId="193" fillId="0" borderId="0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4" xfId="0" applyBorder="1" applyAlignment="1">
      <alignment/>
    </xf>
    <xf numFmtId="164" fontId="0" fillId="0" borderId="64" xfId="0" applyNumberFormat="1" applyBorder="1" applyAlignment="1">
      <alignment/>
    </xf>
    <xf numFmtId="17" fontId="193" fillId="0" borderId="56" xfId="0" applyNumberFormat="1" applyFont="1" applyBorder="1" applyAlignment="1">
      <alignment/>
    </xf>
    <xf numFmtId="166" fontId="0" fillId="0" borderId="0" xfId="574" applyNumberFormat="1" applyFont="1" applyBorder="1" applyAlignment="1">
      <alignment/>
    </xf>
    <xf numFmtId="44" fontId="0" fillId="0" borderId="0" xfId="609" applyFont="1" applyBorder="1" applyAlignment="1">
      <alignment/>
    </xf>
    <xf numFmtId="17" fontId="193" fillId="0" borderId="0" xfId="0" applyNumberFormat="1" applyFont="1" applyBorder="1" applyAlignment="1">
      <alignment/>
    </xf>
    <xf numFmtId="164" fontId="193" fillId="0" borderId="0" xfId="609" applyNumberFormat="1" applyFont="1" applyBorder="1" applyAlignment="1">
      <alignment/>
    </xf>
    <xf numFmtId="0" fontId="197" fillId="0" borderId="0" xfId="0" applyFont="1" applyBorder="1" applyAlignment="1">
      <alignment horizontal="right"/>
    </xf>
    <xf numFmtId="0" fontId="198" fillId="0" borderId="0" xfId="0" applyFont="1" applyBorder="1" applyAlignment="1">
      <alignment/>
    </xf>
    <xf numFmtId="0" fontId="199" fillId="0" borderId="0" xfId="0" applyFont="1" applyBorder="1" applyAlignment="1">
      <alignment/>
    </xf>
    <xf numFmtId="257" fontId="198" fillId="0" borderId="0" xfId="0" applyNumberFormat="1" applyFont="1" applyBorder="1" applyAlignment="1">
      <alignment/>
    </xf>
    <xf numFmtId="17" fontId="198" fillId="0" borderId="56" xfId="0" applyNumberFormat="1" applyFont="1" applyBorder="1" applyAlignment="1">
      <alignment horizontal="right"/>
    </xf>
    <xf numFmtId="166" fontId="0" fillId="0" borderId="8" xfId="574" applyNumberFormat="1" applyFont="1" applyBorder="1" applyAlignment="1">
      <alignment/>
    </xf>
    <xf numFmtId="44" fontId="0" fillId="0" borderId="8" xfId="609" applyFont="1" applyBorder="1" applyAlignment="1">
      <alignment/>
    </xf>
    <xf numFmtId="17" fontId="198" fillId="0" borderId="0" xfId="0" applyNumberFormat="1" applyFont="1" applyBorder="1" applyAlignment="1">
      <alignment horizontal="right"/>
    </xf>
    <xf numFmtId="43" fontId="0" fillId="0" borderId="63" xfId="0" applyNumberFormat="1" applyBorder="1" applyAlignment="1">
      <alignment/>
    </xf>
    <xf numFmtId="164" fontId="193" fillId="0" borderId="0" xfId="0" applyNumberFormat="1" applyFont="1" applyBorder="1" applyAlignment="1">
      <alignment/>
    </xf>
    <xf numFmtId="256" fontId="0" fillId="0" borderId="0" xfId="0" applyNumberFormat="1" applyAlignment="1">
      <alignment/>
    </xf>
    <xf numFmtId="256" fontId="0" fillId="0" borderId="54" xfId="0" applyNumberFormat="1" applyBorder="1" applyAlignment="1">
      <alignment/>
    </xf>
    <xf numFmtId="44" fontId="0" fillId="0" borderId="54" xfId="609" applyFont="1" applyBorder="1" applyAlignment="1">
      <alignment/>
    </xf>
    <xf numFmtId="166" fontId="143" fillId="0" borderId="0" xfId="574" applyNumberFormat="1" applyFont="1" applyBorder="1" applyAlignment="1">
      <alignment/>
    </xf>
    <xf numFmtId="44" fontId="143" fillId="0" borderId="0" xfId="609" applyFont="1" applyBorder="1" applyAlignment="1">
      <alignment/>
    </xf>
    <xf numFmtId="166" fontId="200" fillId="0" borderId="0" xfId="574" applyNumberFormat="1" applyFont="1" applyBorder="1" applyAlignment="1">
      <alignment/>
    </xf>
    <xf numFmtId="44" fontId="200" fillId="0" borderId="0" xfId="609" applyFont="1" applyBorder="1" applyAlignment="1">
      <alignment/>
    </xf>
    <xf numFmtId="166" fontId="201" fillId="0" borderId="0" xfId="574" applyNumberFormat="1" applyFont="1" applyBorder="1" applyAlignment="1">
      <alignment/>
    </xf>
    <xf numFmtId="166" fontId="0" fillId="0" borderId="0" xfId="574" applyNumberFormat="1" applyFont="1" applyBorder="1" applyAlignment="1">
      <alignment/>
    </xf>
    <xf numFmtId="44" fontId="0" fillId="0" borderId="0" xfId="609" applyFont="1" applyBorder="1" applyAlignment="1">
      <alignment/>
    </xf>
    <xf numFmtId="0" fontId="197" fillId="0" borderId="0" xfId="0" applyFont="1" applyBorder="1" applyAlignment="1">
      <alignment horizontal="right"/>
    </xf>
    <xf numFmtId="0" fontId="202" fillId="77" borderId="0" xfId="0" applyFont="1" applyFill="1" applyAlignment="1">
      <alignment/>
    </xf>
    <xf numFmtId="0" fontId="203" fillId="78" borderId="0" xfId="0" applyFont="1" applyFill="1" applyAlignment="1">
      <alignment/>
    </xf>
    <xf numFmtId="0" fontId="204" fillId="79" borderId="56" xfId="0" applyFont="1" applyFill="1" applyBorder="1" applyAlignment="1">
      <alignment horizontal="left"/>
    </xf>
    <xf numFmtId="0" fontId="0" fillId="79" borderId="56" xfId="0" applyFont="1" applyFill="1" applyBorder="1" applyAlignment="1">
      <alignment horizontal="left" indent="2"/>
    </xf>
    <xf numFmtId="0" fontId="205" fillId="0" borderId="4" xfId="0" applyFont="1" applyBorder="1" applyAlignment="1">
      <alignment/>
    </xf>
    <xf numFmtId="14" fontId="193" fillId="0" borderId="4" xfId="0" applyNumberFormat="1" applyFont="1" applyBorder="1" applyAlignment="1">
      <alignment/>
    </xf>
    <xf numFmtId="258" fontId="193" fillId="0" borderId="4" xfId="0" applyNumberFormat="1" applyFont="1" applyBorder="1" applyAlignment="1">
      <alignment/>
    </xf>
    <xf numFmtId="0" fontId="0" fillId="79" borderId="56" xfId="0" applyFill="1" applyBorder="1" applyAlignment="1">
      <alignment horizontal="left" indent="2"/>
    </xf>
    <xf numFmtId="9" fontId="206" fillId="0" borderId="0" xfId="888" applyFont="1" applyAlignment="1">
      <alignment/>
    </xf>
    <xf numFmtId="6" fontId="206" fillId="0" borderId="0" xfId="0" applyNumberFormat="1" applyFont="1" applyAlignment="1">
      <alignment/>
    </xf>
    <xf numFmtId="164" fontId="207" fillId="0" borderId="0" xfId="609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39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7" fillId="0" borderId="0" xfId="0" applyFont="1" applyAlignment="1">
      <alignment/>
    </xf>
    <xf numFmtId="0" fontId="206" fillId="0" borderId="8" xfId="0" applyFont="1" applyBorder="1" applyAlignment="1">
      <alignment/>
    </xf>
    <xf numFmtId="164" fontId="0" fillId="0" borderId="52" xfId="0" applyNumberFormat="1" applyBorder="1" applyAlignment="1">
      <alignment/>
    </xf>
    <xf numFmtId="254" fontId="193" fillId="0" borderId="65" xfId="0" applyNumberFormat="1" applyFont="1" applyBorder="1" applyAlignment="1">
      <alignment/>
    </xf>
    <xf numFmtId="0" fontId="0" fillId="0" borderId="0" xfId="0" applyAlignment="1" quotePrefix="1">
      <alignment/>
    </xf>
    <xf numFmtId="0" fontId="208" fillId="77" borderId="56" xfId="0" applyFont="1" applyFill="1" applyBorder="1" applyAlignment="1">
      <alignment/>
    </xf>
    <xf numFmtId="254" fontId="0" fillId="0" borderId="52" xfId="0" applyNumberFormat="1" applyBorder="1" applyAlignment="1">
      <alignment/>
    </xf>
    <xf numFmtId="164" fontId="143" fillId="0" borderId="0" xfId="0" applyNumberFormat="1" applyFont="1" applyBorder="1" applyAlignment="1">
      <alignment/>
    </xf>
    <xf numFmtId="164" fontId="0" fillId="0" borderId="0" xfId="609" applyNumberFormat="1" applyFont="1" applyBorder="1" applyAlignment="1">
      <alignment/>
    </xf>
    <xf numFmtId="164" fontId="0" fillId="0" borderId="66" xfId="0" applyNumberFormat="1" applyBorder="1" applyAlignment="1">
      <alignment/>
    </xf>
    <xf numFmtId="0" fontId="202" fillId="77" borderId="0" xfId="0" applyFont="1" applyFill="1" applyBorder="1" applyAlignment="1">
      <alignment/>
    </xf>
    <xf numFmtId="0" fontId="202" fillId="77" borderId="60" xfId="0" applyFont="1" applyFill="1" applyBorder="1" applyAlignment="1">
      <alignment/>
    </xf>
    <xf numFmtId="164" fontId="0" fillId="0" borderId="60" xfId="0" applyNumberFormat="1" applyBorder="1" applyAlignment="1">
      <alignment/>
    </xf>
    <xf numFmtId="0" fontId="204" fillId="79" borderId="67" xfId="0" applyFont="1" applyFill="1" applyBorder="1" applyAlignment="1">
      <alignment horizontal="left"/>
    </xf>
    <xf numFmtId="0" fontId="0" fillId="0" borderId="7" xfId="0" applyBorder="1" applyAlignment="1">
      <alignment/>
    </xf>
    <xf numFmtId="254" fontId="0" fillId="0" borderId="0" xfId="0" applyNumberFormat="1" applyBorder="1" applyAlignment="1">
      <alignment/>
    </xf>
    <xf numFmtId="164" fontId="193" fillId="0" borderId="65" xfId="609" applyNumberFormat="1" applyFont="1" applyBorder="1" applyAlignment="1">
      <alignment/>
    </xf>
    <xf numFmtId="164" fontId="193" fillId="0" borderId="52" xfId="609" applyNumberFormat="1" applyFont="1" applyBorder="1" applyAlignment="1">
      <alignment/>
    </xf>
    <xf numFmtId="254" fontId="0" fillId="0" borderId="65" xfId="0" applyNumberFormat="1" applyBorder="1" applyAlignment="1">
      <alignment/>
    </xf>
    <xf numFmtId="254" fontId="143" fillId="0" borderId="65" xfId="0" applyNumberFormat="1" applyFont="1" applyBorder="1" applyAlignment="1">
      <alignment/>
    </xf>
    <xf numFmtId="254" fontId="193" fillId="0" borderId="52" xfId="0" applyNumberFormat="1" applyFont="1" applyBorder="1" applyAlignment="1">
      <alignment/>
    </xf>
    <xf numFmtId="254" fontId="0" fillId="0" borderId="60" xfId="0" applyNumberFormat="1" applyBorder="1" applyAlignment="1">
      <alignment/>
    </xf>
    <xf numFmtId="164" fontId="209" fillId="0" borderId="0" xfId="609" applyNumberFormat="1" applyFont="1" applyAlignment="1" quotePrefix="1">
      <alignment/>
    </xf>
    <xf numFmtId="44" fontId="0" fillId="0" borderId="0" xfId="609" applyFont="1" applyBorder="1" applyAlignment="1">
      <alignment/>
    </xf>
    <xf numFmtId="255" fontId="0" fillId="0" borderId="0" xfId="0" applyNumberFormat="1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8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210" fillId="0" borderId="0" xfId="0" applyFont="1" applyAlignment="1">
      <alignment/>
    </xf>
    <xf numFmtId="164" fontId="0" fillId="0" borderId="65" xfId="0" applyNumberFormat="1" applyBorder="1" applyAlignment="1">
      <alignment/>
    </xf>
    <xf numFmtId="164" fontId="0" fillId="0" borderId="55" xfId="0" applyNumberFormat="1" applyBorder="1" applyAlignment="1">
      <alignment/>
    </xf>
    <xf numFmtId="164" fontId="143" fillId="0" borderId="65" xfId="0" applyNumberFormat="1" applyFont="1" applyFill="1" applyBorder="1" applyAlignment="1">
      <alignment/>
    </xf>
    <xf numFmtId="254" fontId="143" fillId="0" borderId="60" xfId="0" applyNumberFormat="1" applyFont="1" applyBorder="1" applyAlignment="1">
      <alignment/>
    </xf>
    <xf numFmtId="0" fontId="205" fillId="0" borderId="0" xfId="0" applyFont="1" applyAlignment="1">
      <alignment horizontal="left" indent="1"/>
    </xf>
    <xf numFmtId="0" fontId="205" fillId="0" borderId="0" xfId="0" applyFont="1" applyAlignment="1">
      <alignment horizontal="right"/>
    </xf>
    <xf numFmtId="10" fontId="0" fillId="0" borderId="39" xfId="0" applyNumberFormat="1" applyBorder="1" applyAlignment="1">
      <alignment/>
    </xf>
    <xf numFmtId="10" fontId="0" fillId="0" borderId="57" xfId="0" applyNumberFormat="1" applyBorder="1" applyAlignment="1">
      <alignment/>
    </xf>
    <xf numFmtId="10" fontId="0" fillId="0" borderId="54" xfId="0" applyNumberFormat="1" applyBorder="1" applyAlignment="1">
      <alignment/>
    </xf>
    <xf numFmtId="10" fontId="0" fillId="0" borderId="59" xfId="0" applyNumberFormat="1" applyBorder="1" applyAlignment="1">
      <alignment/>
    </xf>
    <xf numFmtId="253" fontId="143" fillId="0" borderId="58" xfId="0" applyNumberFormat="1" applyFont="1" applyFill="1" applyBorder="1" applyAlignment="1">
      <alignment horizontal="right"/>
    </xf>
    <xf numFmtId="253" fontId="143" fillId="0" borderId="39" xfId="0" applyNumberFormat="1" applyFont="1" applyFill="1" applyBorder="1" applyAlignment="1">
      <alignment horizontal="right"/>
    </xf>
    <xf numFmtId="253" fontId="143" fillId="0" borderId="57" xfId="0" applyNumberFormat="1" applyFont="1" applyFill="1" applyBorder="1" applyAlignment="1">
      <alignment horizontal="right"/>
    </xf>
    <xf numFmtId="253" fontId="143" fillId="0" borderId="60" xfId="0" applyNumberFormat="1" applyFont="1" applyFill="1" applyBorder="1" applyAlignment="1">
      <alignment horizontal="right"/>
    </xf>
    <xf numFmtId="253" fontId="143" fillId="0" borderId="56" xfId="0" applyNumberFormat="1" applyFont="1" applyFill="1" applyBorder="1" applyAlignment="1">
      <alignment horizontal="right"/>
    </xf>
    <xf numFmtId="253" fontId="143" fillId="0" borderId="59" xfId="0" applyNumberFormat="1" applyFont="1" applyFill="1" applyBorder="1" applyAlignment="1">
      <alignment horizontal="right"/>
    </xf>
    <xf numFmtId="0" fontId="0" fillId="0" borderId="0" xfId="0" applyAlignment="1">
      <alignment/>
    </xf>
    <xf numFmtId="253" fontId="143" fillId="0" borderId="0" xfId="0" applyNumberFormat="1" applyFont="1" applyFill="1" applyBorder="1" applyAlignment="1">
      <alignment horizontal="right"/>
    </xf>
    <xf numFmtId="253" fontId="143" fillId="0" borderId="54" xfId="0" applyNumberFormat="1" applyFont="1" applyFill="1" applyBorder="1" applyAlignment="1">
      <alignment horizontal="right"/>
    </xf>
    <xf numFmtId="253" fontId="143" fillId="0" borderId="55" xfId="0" applyNumberFormat="1" applyFont="1" applyFill="1" applyBorder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60" xfId="609" applyNumberFormat="1" applyFont="1" applyBorder="1" applyAlignment="1">
      <alignment/>
    </xf>
    <xf numFmtId="0" fontId="0" fillId="0" borderId="39" xfId="0" applyBorder="1" applyAlignment="1">
      <alignment/>
    </xf>
    <xf numFmtId="0" fontId="193" fillId="0" borderId="0" xfId="0" applyFont="1" applyBorder="1" applyAlignment="1">
      <alignment/>
    </xf>
    <xf numFmtId="253" fontId="143" fillId="0" borderId="55" xfId="0" applyNumberFormat="1" applyFont="1" applyFill="1" applyBorder="1" applyAlignment="1">
      <alignment horizontal="right"/>
    </xf>
    <xf numFmtId="164" fontId="143" fillId="0" borderId="6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166" fontId="0" fillId="0" borderId="68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0" xfId="0" applyAlignment="1">
      <alignment horizontal="left" indent="1"/>
    </xf>
    <xf numFmtId="259" fontId="143" fillId="0" borderId="0" xfId="0" applyNumberFormat="1" applyFont="1" applyBorder="1" applyAlignment="1">
      <alignment/>
    </xf>
    <xf numFmtId="260" fontId="143" fillId="0" borderId="0" xfId="0" applyNumberFormat="1" applyFont="1" applyBorder="1" applyAlignment="1">
      <alignment/>
    </xf>
    <xf numFmtId="261" fontId="21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212" fillId="0" borderId="0" xfId="0" applyFont="1" applyAlignment="1">
      <alignment/>
    </xf>
    <xf numFmtId="0" fontId="213" fillId="0" borderId="8" xfId="0" applyFont="1" applyBorder="1" applyAlignment="1">
      <alignment horizontal="left"/>
    </xf>
    <xf numFmtId="0" fontId="172" fillId="0" borderId="8" xfId="0" applyFont="1" applyBorder="1" applyAlignment="1">
      <alignment horizontal="left" indent="1"/>
    </xf>
    <xf numFmtId="0" fontId="172" fillId="0" borderId="59" xfId="0" applyFont="1" applyBorder="1" applyAlignment="1">
      <alignment horizontal="left" indent="1"/>
    </xf>
    <xf numFmtId="0" fontId="172" fillId="0" borderId="54" xfId="0" applyFont="1" applyBorder="1" applyAlignment="1">
      <alignment horizontal="left" indent="1"/>
    </xf>
    <xf numFmtId="0" fontId="214" fillId="0" borderId="55" xfId="0" applyFont="1" applyBorder="1" applyAlignment="1">
      <alignment/>
    </xf>
    <xf numFmtId="0" fontId="214" fillId="0" borderId="56" xfId="0" applyFont="1" applyBorder="1" applyAlignment="1">
      <alignment horizontal="left" indent="2"/>
    </xf>
    <xf numFmtId="0" fontId="214" fillId="0" borderId="0" xfId="0" applyFont="1" applyBorder="1" applyAlignment="1">
      <alignment horizontal="left" indent="2"/>
    </xf>
    <xf numFmtId="0" fontId="172" fillId="0" borderId="67" xfId="0" applyFont="1" applyBorder="1" applyAlignment="1">
      <alignment horizontal="left" indent="1"/>
    </xf>
    <xf numFmtId="0" fontId="214" fillId="0" borderId="69" xfId="0" applyFont="1" applyBorder="1" applyAlignment="1">
      <alignment/>
    </xf>
    <xf numFmtId="0" fontId="214" fillId="0" borderId="57" xfId="0" applyFont="1" applyBorder="1" applyAlignment="1">
      <alignment horizontal="left" indent="2"/>
    </xf>
    <xf numFmtId="0" fontId="214" fillId="0" borderId="39" xfId="0" applyFont="1" applyBorder="1" applyAlignment="1">
      <alignment horizontal="left" indent="2"/>
    </xf>
    <xf numFmtId="164" fontId="196" fillId="0" borderId="70" xfId="0" applyNumberFormat="1" applyFont="1" applyBorder="1" applyAlignment="1">
      <alignment/>
    </xf>
    <xf numFmtId="164" fontId="196" fillId="0" borderId="71" xfId="0" applyNumberFormat="1" applyFont="1" applyBorder="1" applyAlignment="1">
      <alignment/>
    </xf>
    <xf numFmtId="0" fontId="194" fillId="0" borderId="0" xfId="0" applyFont="1" applyAlignment="1">
      <alignment/>
    </xf>
    <xf numFmtId="44" fontId="194" fillId="0" borderId="0" xfId="609" applyFont="1" applyBorder="1" applyAlignment="1">
      <alignment/>
    </xf>
    <xf numFmtId="164" fontId="0" fillId="0" borderId="0" xfId="609" applyNumberFormat="1" applyFont="1" applyBorder="1" applyAlignment="1">
      <alignment/>
    </xf>
    <xf numFmtId="0" fontId="0" fillId="0" borderId="0" xfId="0" applyAlignment="1">
      <alignment/>
    </xf>
    <xf numFmtId="0" fontId="213" fillId="0" borderId="0" xfId="0" applyFont="1" applyAlignment="1">
      <alignment/>
    </xf>
    <xf numFmtId="0" fontId="213" fillId="0" borderId="0" xfId="0" applyFont="1" applyAlignment="1">
      <alignment horizontal="left"/>
    </xf>
    <xf numFmtId="164" fontId="0" fillId="0" borderId="0" xfId="609" applyNumberFormat="1" applyFont="1" applyAlignment="1">
      <alignment/>
    </xf>
    <xf numFmtId="164" fontId="0" fillId="0" borderId="0" xfId="609" applyNumberFormat="1" applyFont="1" applyBorder="1" applyAlignment="1">
      <alignment/>
    </xf>
    <xf numFmtId="25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Fill="1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8" xfId="0" applyBorder="1" applyAlignment="1">
      <alignment/>
    </xf>
    <xf numFmtId="0" fontId="0" fillId="0" borderId="0" xfId="0" applyAlignment="1">
      <alignment horizontal="left" indent="2"/>
    </xf>
    <xf numFmtId="0" fontId="201" fillId="0" borderId="0" xfId="0" applyFont="1" applyAlignment="1">
      <alignment horizontal="left" indent="2"/>
    </xf>
    <xf numFmtId="164" fontId="143" fillId="0" borderId="0" xfId="609" applyNumberFormat="1" applyFont="1" applyAlignment="1">
      <alignment/>
    </xf>
    <xf numFmtId="0" fontId="143" fillId="0" borderId="0" xfId="0" applyFont="1" applyBorder="1" applyAlignment="1">
      <alignment/>
    </xf>
    <xf numFmtId="164" fontId="143" fillId="0" borderId="0" xfId="0" applyNumberFormat="1" applyFont="1" applyBorder="1" applyAlignment="1">
      <alignment/>
    </xf>
    <xf numFmtId="0" fontId="143" fillId="0" borderId="0" xfId="0" applyFont="1" applyAlignment="1">
      <alignment/>
    </xf>
    <xf numFmtId="254" fontId="143" fillId="0" borderId="0" xfId="0" applyNumberFormat="1" applyFont="1" applyBorder="1" applyAlignment="1">
      <alignment/>
    </xf>
    <xf numFmtId="164" fontId="143" fillId="0" borderId="0" xfId="609" applyNumberFormat="1" applyFont="1" applyBorder="1" applyAlignment="1">
      <alignment/>
    </xf>
    <xf numFmtId="164" fontId="215" fillId="0" borderId="8" xfId="0" applyNumberFormat="1" applyFont="1" applyBorder="1" applyAlignment="1">
      <alignment horizontal="right" indent="1"/>
    </xf>
    <xf numFmtId="164" fontId="215" fillId="0" borderId="0" xfId="0" applyNumberFormat="1" applyFont="1" applyBorder="1" applyAlignment="1">
      <alignment horizontal="right" indent="1"/>
    </xf>
    <xf numFmtId="0" fontId="143" fillId="0" borderId="0" xfId="0" applyFont="1" applyAlignment="1">
      <alignment horizontal="left" indent="2"/>
    </xf>
    <xf numFmtId="165" fontId="143" fillId="0" borderId="0" xfId="0" applyNumberFormat="1" applyFont="1" applyAlignment="1">
      <alignment/>
    </xf>
    <xf numFmtId="9" fontId="143" fillId="0" borderId="0" xfId="0" applyNumberFormat="1" applyFont="1" applyAlignment="1">
      <alignment/>
    </xf>
    <xf numFmtId="10" fontId="143" fillId="0" borderId="0" xfId="0" applyNumberFormat="1" applyFont="1" applyAlignment="1">
      <alignment/>
    </xf>
    <xf numFmtId="167" fontId="143" fillId="0" borderId="0" xfId="574" applyNumberFormat="1" applyFont="1" applyAlignment="1">
      <alignment horizontal="left" indent="1"/>
    </xf>
    <xf numFmtId="10" fontId="143" fillId="0" borderId="0" xfId="888" applyNumberFormat="1" applyFont="1" applyAlignment="1">
      <alignment/>
    </xf>
    <xf numFmtId="0" fontId="0" fillId="0" borderId="0" xfId="0" applyFill="1" applyAlignment="1">
      <alignment horizontal="left" indent="2"/>
    </xf>
    <xf numFmtId="0" fontId="211" fillId="0" borderId="0" xfId="0" applyFont="1" applyAlignment="1">
      <alignment/>
    </xf>
    <xf numFmtId="0" fontId="143" fillId="0" borderId="0" xfId="0" applyNumberFormat="1" applyFont="1" applyAlignment="1">
      <alignment/>
    </xf>
    <xf numFmtId="164" fontId="143" fillId="0" borderId="72" xfId="609" applyNumberFormat="1" applyFont="1" applyBorder="1" applyAlignment="1">
      <alignment/>
    </xf>
    <xf numFmtId="0" fontId="143" fillId="0" borderId="56" xfId="0" applyFont="1" applyBorder="1" applyAlignment="1">
      <alignment horizontal="left" indent="1"/>
    </xf>
    <xf numFmtId="164" fontId="143" fillId="0" borderId="60" xfId="609" applyNumberFormat="1" applyFont="1" applyBorder="1" applyAlignment="1">
      <alignment/>
    </xf>
    <xf numFmtId="164" fontId="143" fillId="0" borderId="73" xfId="609" applyNumberFormat="1" applyFont="1" applyBorder="1" applyAlignment="1">
      <alignment/>
    </xf>
    <xf numFmtId="0" fontId="143" fillId="0" borderId="54" xfId="0" applyFont="1" applyBorder="1" applyAlignment="1">
      <alignment/>
    </xf>
    <xf numFmtId="0" fontId="143" fillId="0" borderId="39" xfId="0" applyFont="1" applyBorder="1" applyAlignment="1">
      <alignment/>
    </xf>
    <xf numFmtId="254" fontId="146" fillId="0" borderId="52" xfId="0" applyNumberFormat="1" applyFont="1" applyBorder="1" applyAlignment="1">
      <alignment/>
    </xf>
    <xf numFmtId="254" fontId="193" fillId="0" borderId="52" xfId="0" applyNumberFormat="1" applyFont="1" applyBorder="1" applyAlignment="1">
      <alignment/>
    </xf>
    <xf numFmtId="164" fontId="146" fillId="0" borderId="52" xfId="609" applyNumberFormat="1" applyFont="1" applyBorder="1" applyAlignment="1">
      <alignment/>
    </xf>
    <xf numFmtId="164" fontId="193" fillId="0" borderId="52" xfId="609" applyNumberFormat="1" applyFont="1" applyBorder="1" applyAlignment="1">
      <alignment/>
    </xf>
    <xf numFmtId="254" fontId="143" fillId="0" borderId="52" xfId="0" applyNumberFormat="1" applyFont="1" applyBorder="1" applyAlignment="1">
      <alignment/>
    </xf>
    <xf numFmtId="254" fontId="0" fillId="0" borderId="52" xfId="0" applyNumberFormat="1" applyBorder="1" applyAlignment="1">
      <alignment/>
    </xf>
    <xf numFmtId="164" fontId="143" fillId="0" borderId="52" xfId="0" applyNumberFormat="1" applyFont="1" applyBorder="1" applyAlignment="1">
      <alignment/>
    </xf>
    <xf numFmtId="164" fontId="0" fillId="0" borderId="52" xfId="0" applyNumberFormat="1" applyBorder="1" applyAlignment="1">
      <alignment/>
    </xf>
    <xf numFmtId="164" fontId="143" fillId="0" borderId="52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143" fillId="0" borderId="0" xfId="0" applyNumberFormat="1" applyFont="1" applyFill="1" applyBorder="1" applyAlignment="1">
      <alignment/>
    </xf>
    <xf numFmtId="164" fontId="143" fillId="0" borderId="0" xfId="609" applyNumberFormat="1" applyFont="1" applyFill="1" applyBorder="1" applyAlignment="1">
      <alignment/>
    </xf>
    <xf numFmtId="0" fontId="193" fillId="0" borderId="0" xfId="0" applyFont="1" applyBorder="1" applyAlignment="1">
      <alignment/>
    </xf>
    <xf numFmtId="255" fontId="0" fillId="0" borderId="0" xfId="0" applyNumberFormat="1" applyBorder="1" applyAlignment="1">
      <alignment/>
    </xf>
    <xf numFmtId="0" fontId="215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193" fillId="0" borderId="59" xfId="0" applyFont="1" applyBorder="1" applyAlignment="1">
      <alignment/>
    </xf>
    <xf numFmtId="0" fontId="193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56" xfId="0" applyFill="1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198" fillId="0" borderId="67" xfId="0" applyFont="1" applyBorder="1" applyAlignment="1">
      <alignment horizontal="right" indent="1"/>
    </xf>
    <xf numFmtId="0" fontId="193" fillId="0" borderId="56" xfId="0" applyFont="1" applyBorder="1" applyAlignment="1">
      <alignment/>
    </xf>
    <xf numFmtId="0" fontId="198" fillId="0" borderId="67" xfId="0" applyFont="1" applyFill="1" applyBorder="1" applyAlignment="1">
      <alignment horizontal="right" indent="1"/>
    </xf>
    <xf numFmtId="0" fontId="0" fillId="0" borderId="56" xfId="0" applyBorder="1" applyAlignment="1">
      <alignment/>
    </xf>
    <xf numFmtId="0" fontId="0" fillId="0" borderId="56" xfId="0" applyBorder="1" applyAlignment="1">
      <alignment horizontal="left"/>
    </xf>
    <xf numFmtId="0" fontId="197" fillId="0" borderId="67" xfId="0" applyFont="1" applyBorder="1" applyAlignment="1">
      <alignment horizontal="right" indent="1"/>
    </xf>
    <xf numFmtId="0" fontId="0" fillId="0" borderId="56" xfId="0" applyBorder="1" applyAlignment="1">
      <alignment horizontal="right" indent="1"/>
    </xf>
    <xf numFmtId="0" fontId="0" fillId="0" borderId="57" xfId="0" applyBorder="1" applyAlignment="1">
      <alignment/>
    </xf>
    <xf numFmtId="0" fontId="0" fillId="0" borderId="39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left" indent="1"/>
    </xf>
    <xf numFmtId="0" fontId="0" fillId="0" borderId="54" xfId="0" applyBorder="1" applyAlignment="1">
      <alignment horizontal="left" indent="1"/>
    </xf>
    <xf numFmtId="164" fontId="143" fillId="0" borderId="54" xfId="0" applyNumberFormat="1" applyFont="1" applyBorder="1" applyAlignment="1">
      <alignment/>
    </xf>
    <xf numFmtId="164" fontId="0" fillId="0" borderId="54" xfId="0" applyNumberFormat="1" applyBorder="1" applyAlignment="1">
      <alignment/>
    </xf>
    <xf numFmtId="0" fontId="0" fillId="0" borderId="67" xfId="0" applyFill="1" applyBorder="1" applyAlignment="1">
      <alignment/>
    </xf>
    <xf numFmtId="0" fontId="143" fillId="0" borderId="59" xfId="0" applyFont="1" applyBorder="1" applyAlignment="1">
      <alignment horizontal="left" indent="1"/>
    </xf>
    <xf numFmtId="253" fontId="143" fillId="0" borderId="54" xfId="0" applyNumberFormat="1" applyFont="1" applyFill="1" applyBorder="1" applyAlignment="1">
      <alignment horizontal="right"/>
    </xf>
    <xf numFmtId="164" fontId="143" fillId="0" borderId="60" xfId="609" applyNumberFormat="1" applyFont="1" applyFill="1" applyBorder="1" applyAlignment="1">
      <alignment/>
    </xf>
    <xf numFmtId="0" fontId="0" fillId="0" borderId="67" xfId="0" applyBorder="1" applyAlignment="1">
      <alignment/>
    </xf>
    <xf numFmtId="0" fontId="0" fillId="0" borderId="59" xfId="0" applyFill="1" applyBorder="1" applyAlignment="1">
      <alignment horizontal="left" indent="1"/>
    </xf>
    <xf numFmtId="0" fontId="0" fillId="0" borderId="54" xfId="0" applyFill="1" applyBorder="1" applyAlignment="1">
      <alignment horizontal="left" inden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168" fontId="0" fillId="0" borderId="60" xfId="0" applyNumberFormat="1" applyFill="1" applyBorder="1" applyAlignment="1">
      <alignment/>
    </xf>
    <xf numFmtId="0" fontId="216" fillId="0" borderId="0" xfId="0" applyFont="1" applyBorder="1" applyAlignment="1">
      <alignment horizontal="left" indent="1"/>
    </xf>
    <xf numFmtId="165" fontId="206" fillId="0" borderId="0" xfId="0" applyNumberFormat="1" applyFont="1" applyAlignment="1">
      <alignment/>
    </xf>
    <xf numFmtId="164" fontId="206" fillId="0" borderId="0" xfId="609" applyNumberFormat="1" applyFont="1" applyAlignment="1">
      <alignment/>
    </xf>
    <xf numFmtId="164" fontId="206" fillId="0" borderId="0" xfId="609" applyNumberFormat="1" applyFont="1" applyFill="1" applyAlignment="1">
      <alignment/>
    </xf>
    <xf numFmtId="9" fontId="206" fillId="0" borderId="0" xfId="0" applyNumberFormat="1" applyFont="1" applyAlignment="1">
      <alignment/>
    </xf>
    <xf numFmtId="10" fontId="206" fillId="0" borderId="0" xfId="0" applyNumberFormat="1" applyFont="1" applyAlignment="1">
      <alignment/>
    </xf>
    <xf numFmtId="167" fontId="206" fillId="0" borderId="0" xfId="574" applyNumberFormat="1" applyFont="1" applyAlignment="1">
      <alignment horizontal="left" indent="1"/>
    </xf>
    <xf numFmtId="164" fontId="206" fillId="0" borderId="0" xfId="0" applyNumberFormat="1" applyFont="1" applyAlignment="1">
      <alignment/>
    </xf>
    <xf numFmtId="9" fontId="206" fillId="0" borderId="0" xfId="0" applyNumberFormat="1" applyFont="1" applyFill="1" applyAlignment="1">
      <alignment/>
    </xf>
    <xf numFmtId="164" fontId="143" fillId="0" borderId="60" xfId="0" applyNumberFormat="1" applyFont="1" applyBorder="1" applyAlignment="1">
      <alignment/>
    </xf>
    <xf numFmtId="0" fontId="0" fillId="0" borderId="60" xfId="0" applyBorder="1" applyAlignment="1">
      <alignment/>
    </xf>
    <xf numFmtId="164" fontId="0" fillId="0" borderId="65" xfId="0" applyNumberFormat="1" applyBorder="1" applyAlignment="1">
      <alignment/>
    </xf>
    <xf numFmtId="0" fontId="0" fillId="0" borderId="60" xfId="0" applyBorder="1" applyAlignment="1">
      <alignment/>
    </xf>
    <xf numFmtId="164" fontId="209" fillId="0" borderId="0" xfId="609" applyNumberFormat="1" applyFont="1" applyAlignment="1">
      <alignment/>
    </xf>
    <xf numFmtId="0" fontId="206" fillId="0" borderId="0" xfId="0" applyFont="1" applyAlignment="1">
      <alignment horizontal="right" indent="1"/>
    </xf>
    <xf numFmtId="1" fontId="206" fillId="0" borderId="0" xfId="609" applyNumberFormat="1" applyFont="1" applyFill="1" applyAlignment="1">
      <alignment horizontal="right" indent="1"/>
    </xf>
    <xf numFmtId="0" fontId="206" fillId="0" borderId="0" xfId="0" applyNumberFormat="1" applyFont="1" applyAlignment="1">
      <alignment horizontal="right" indent="1"/>
    </xf>
    <xf numFmtId="164" fontId="143" fillId="0" borderId="60" xfId="0" applyNumberFormat="1" applyFont="1" applyBorder="1" applyAlignment="1">
      <alignment/>
    </xf>
    <xf numFmtId="9" fontId="217" fillId="0" borderId="0" xfId="0" applyNumberFormat="1" applyFont="1" applyAlignment="1">
      <alignment/>
    </xf>
    <xf numFmtId="164" fontId="0" fillId="0" borderId="0" xfId="609" applyNumberFormat="1" applyFont="1" applyBorder="1" applyAlignment="1">
      <alignment horizontal="right"/>
    </xf>
    <xf numFmtId="0" fontId="0" fillId="0" borderId="0" xfId="0" applyAlignment="1">
      <alignment/>
    </xf>
    <xf numFmtId="0" fontId="213" fillId="0" borderId="0" xfId="0" applyFont="1" applyAlignment="1">
      <alignment/>
    </xf>
    <xf numFmtId="0" fontId="213" fillId="0" borderId="0" xfId="0" applyFont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 indent="2"/>
    </xf>
    <xf numFmtId="0" fontId="201" fillId="0" borderId="0" xfId="0" applyFont="1" applyAlignment="1">
      <alignment horizontal="left" indent="2"/>
    </xf>
    <xf numFmtId="164" fontId="143" fillId="0" borderId="0" xfId="609" applyNumberFormat="1" applyFont="1" applyAlignment="1">
      <alignment/>
    </xf>
    <xf numFmtId="164" fontId="143" fillId="0" borderId="0" xfId="0" applyNumberFormat="1" applyFont="1" applyBorder="1" applyAlignment="1">
      <alignment/>
    </xf>
    <xf numFmtId="0" fontId="143" fillId="0" borderId="0" xfId="0" applyFont="1" applyAlignment="1">
      <alignment/>
    </xf>
    <xf numFmtId="0" fontId="143" fillId="0" borderId="0" xfId="0" applyFont="1" applyAlignment="1">
      <alignment horizontal="left" indent="2"/>
    </xf>
    <xf numFmtId="165" fontId="143" fillId="0" borderId="0" xfId="0" applyNumberFormat="1" applyFont="1" applyAlignment="1">
      <alignment/>
    </xf>
    <xf numFmtId="9" fontId="143" fillId="0" borderId="0" xfId="0" applyNumberFormat="1" applyFont="1" applyAlignment="1">
      <alignment/>
    </xf>
    <xf numFmtId="10" fontId="143" fillId="0" borderId="0" xfId="0" applyNumberFormat="1" applyFont="1" applyAlignment="1">
      <alignment/>
    </xf>
    <xf numFmtId="167" fontId="143" fillId="0" borderId="0" xfId="574" applyNumberFormat="1" applyFont="1" applyAlignment="1">
      <alignment horizontal="left" indent="1"/>
    </xf>
    <xf numFmtId="10" fontId="143" fillId="0" borderId="0" xfId="888" applyNumberFormat="1" applyFont="1" applyAlignment="1">
      <alignment/>
    </xf>
    <xf numFmtId="0" fontId="0" fillId="0" borderId="0" xfId="0" applyFill="1" applyAlignment="1">
      <alignment horizontal="left" indent="2"/>
    </xf>
    <xf numFmtId="0" fontId="211" fillId="0" borderId="0" xfId="0" applyFont="1" applyAlignment="1">
      <alignment/>
    </xf>
    <xf numFmtId="0" fontId="143" fillId="0" borderId="0" xfId="0" applyNumberFormat="1" applyFont="1" applyAlignment="1">
      <alignment/>
    </xf>
    <xf numFmtId="164" fontId="143" fillId="0" borderId="72" xfId="609" applyNumberFormat="1" applyFont="1" applyBorder="1" applyAlignment="1">
      <alignment/>
    </xf>
    <xf numFmtId="0" fontId="143" fillId="0" borderId="54" xfId="0" applyFont="1" applyBorder="1" applyAlignment="1">
      <alignment/>
    </xf>
    <xf numFmtId="254" fontId="146" fillId="0" borderId="52" xfId="0" applyNumberFormat="1" applyFont="1" applyBorder="1" applyAlignment="1">
      <alignment/>
    </xf>
    <xf numFmtId="254" fontId="193" fillId="0" borderId="52" xfId="0" applyNumberFormat="1" applyFont="1" applyBorder="1" applyAlignment="1">
      <alignment/>
    </xf>
    <xf numFmtId="164" fontId="146" fillId="0" borderId="52" xfId="609" applyNumberFormat="1" applyFont="1" applyBorder="1" applyAlignment="1">
      <alignment/>
    </xf>
    <xf numFmtId="164" fontId="193" fillId="0" borderId="52" xfId="609" applyNumberFormat="1" applyFont="1" applyBorder="1" applyAlignment="1">
      <alignment/>
    </xf>
    <xf numFmtId="254" fontId="143" fillId="0" borderId="52" xfId="0" applyNumberFormat="1" applyFont="1" applyBorder="1" applyAlignment="1">
      <alignment/>
    </xf>
    <xf numFmtId="254" fontId="0" fillId="0" borderId="52" xfId="0" applyNumberFormat="1" applyBorder="1" applyAlignment="1">
      <alignment/>
    </xf>
    <xf numFmtId="164" fontId="143" fillId="0" borderId="52" xfId="0" applyNumberFormat="1" applyFont="1" applyBorder="1" applyAlignment="1">
      <alignment/>
    </xf>
    <xf numFmtId="164" fontId="0" fillId="0" borderId="52" xfId="0" applyNumberFormat="1" applyBorder="1" applyAlignment="1">
      <alignment/>
    </xf>
    <xf numFmtId="164" fontId="143" fillId="0" borderId="52" xfId="0" applyNumberFormat="1" applyFont="1" applyFill="1" applyBorder="1" applyAlignment="1">
      <alignment/>
    </xf>
    <xf numFmtId="164" fontId="143" fillId="0" borderId="0" xfId="609" applyNumberFormat="1" applyFont="1" applyFill="1" applyBorder="1" applyAlignment="1">
      <alignment/>
    </xf>
    <xf numFmtId="0" fontId="193" fillId="0" borderId="0" xfId="0" applyFont="1" applyBorder="1" applyAlignment="1">
      <alignment/>
    </xf>
    <xf numFmtId="255" fontId="0" fillId="0" borderId="0" xfId="0" applyNumberFormat="1" applyBorder="1" applyAlignment="1">
      <alignment/>
    </xf>
    <xf numFmtId="0" fontId="193" fillId="0" borderId="54" xfId="0" applyFont="1" applyBorder="1" applyAlignment="1">
      <alignment/>
    </xf>
    <xf numFmtId="0" fontId="0" fillId="0" borderId="54" xfId="0" applyBorder="1" applyAlignment="1">
      <alignment/>
    </xf>
    <xf numFmtId="0" fontId="198" fillId="0" borderId="67" xfId="0" applyFont="1" applyBorder="1" applyAlignment="1">
      <alignment horizontal="right" indent="1"/>
    </xf>
    <xf numFmtId="0" fontId="193" fillId="0" borderId="56" xfId="0" applyFont="1" applyBorder="1" applyAlignment="1">
      <alignment/>
    </xf>
    <xf numFmtId="0" fontId="198" fillId="0" borderId="67" xfId="0" applyFont="1" applyFill="1" applyBorder="1" applyAlignment="1">
      <alignment horizontal="right" indent="1"/>
    </xf>
    <xf numFmtId="0" fontId="0" fillId="0" borderId="56" xfId="0" applyBorder="1" applyAlignment="1">
      <alignment/>
    </xf>
    <xf numFmtId="0" fontId="197" fillId="0" borderId="67" xfId="0" applyFont="1" applyBorder="1" applyAlignment="1">
      <alignment horizontal="right" indent="1"/>
    </xf>
    <xf numFmtId="0" fontId="0" fillId="0" borderId="57" xfId="0" applyBorder="1" applyAlignment="1">
      <alignment/>
    </xf>
    <xf numFmtId="0" fontId="0" fillId="0" borderId="39" xfId="0" applyBorder="1" applyAlignment="1">
      <alignment/>
    </xf>
    <xf numFmtId="0" fontId="0" fillId="0" borderId="58" xfId="0" applyBorder="1" applyAlignment="1">
      <alignment/>
    </xf>
    <xf numFmtId="164" fontId="143" fillId="0" borderId="54" xfId="0" applyNumberFormat="1" applyFont="1" applyBorder="1" applyAlignment="1">
      <alignment/>
    </xf>
    <xf numFmtId="164" fontId="0" fillId="0" borderId="54" xfId="0" applyNumberFormat="1" applyBorder="1" applyAlignment="1">
      <alignment/>
    </xf>
    <xf numFmtId="0" fontId="143" fillId="0" borderId="59" xfId="0" applyFont="1" applyBorder="1" applyAlignment="1">
      <alignment horizontal="left" indent="1"/>
    </xf>
    <xf numFmtId="168" fontId="0" fillId="0" borderId="60" xfId="0" applyNumberFormat="1" applyFill="1" applyBorder="1" applyAlignment="1">
      <alignment/>
    </xf>
    <xf numFmtId="0" fontId="216" fillId="0" borderId="0" xfId="0" applyFont="1" applyBorder="1" applyAlignment="1">
      <alignment horizontal="left" indent="1"/>
    </xf>
    <xf numFmtId="165" fontId="206" fillId="0" borderId="0" xfId="0" applyNumberFormat="1" applyFont="1" applyAlignment="1">
      <alignment/>
    </xf>
    <xf numFmtId="164" fontId="206" fillId="0" borderId="0" xfId="609" applyNumberFormat="1" applyFont="1" applyAlignment="1">
      <alignment/>
    </xf>
    <xf numFmtId="164" fontId="206" fillId="0" borderId="0" xfId="609" applyNumberFormat="1" applyFont="1" applyFill="1" applyAlignment="1">
      <alignment/>
    </xf>
    <xf numFmtId="9" fontId="206" fillId="0" borderId="0" xfId="0" applyNumberFormat="1" applyFont="1" applyAlignment="1">
      <alignment/>
    </xf>
    <xf numFmtId="10" fontId="206" fillId="0" borderId="0" xfId="0" applyNumberFormat="1" applyFont="1" applyAlignment="1">
      <alignment/>
    </xf>
    <xf numFmtId="164" fontId="206" fillId="0" borderId="0" xfId="0" applyNumberFormat="1" applyFont="1" applyAlignment="1">
      <alignment/>
    </xf>
    <xf numFmtId="9" fontId="206" fillId="0" borderId="0" xfId="0" applyNumberFormat="1" applyFont="1" applyFill="1" applyAlignment="1">
      <alignment/>
    </xf>
    <xf numFmtId="164" fontId="143" fillId="0" borderId="60" xfId="0" applyNumberFormat="1" applyFont="1" applyBorder="1" applyAlignment="1">
      <alignment/>
    </xf>
    <xf numFmtId="0" fontId="0" fillId="0" borderId="60" xfId="0" applyBorder="1" applyAlignment="1">
      <alignment/>
    </xf>
    <xf numFmtId="164" fontId="0" fillId="0" borderId="65" xfId="0" applyNumberFormat="1" applyBorder="1" applyAlignment="1">
      <alignment/>
    </xf>
    <xf numFmtId="0" fontId="0" fillId="0" borderId="60" xfId="0" applyBorder="1" applyAlignment="1">
      <alignment/>
    </xf>
    <xf numFmtId="164" fontId="209" fillId="0" borderId="0" xfId="609" applyNumberFormat="1" applyFont="1" applyAlignment="1">
      <alignment/>
    </xf>
    <xf numFmtId="0" fontId="206" fillId="0" borderId="0" xfId="0" applyFont="1" applyAlignment="1">
      <alignment horizontal="right" indent="1"/>
    </xf>
    <xf numFmtId="1" fontId="206" fillId="0" borderId="0" xfId="609" applyNumberFormat="1" applyFont="1" applyFill="1" applyAlignment="1">
      <alignment horizontal="right" indent="1"/>
    </xf>
    <xf numFmtId="0" fontId="206" fillId="0" borderId="0" xfId="0" applyNumberFormat="1" applyFont="1" applyAlignment="1">
      <alignment horizontal="right" indent="1"/>
    </xf>
    <xf numFmtId="164" fontId="143" fillId="0" borderId="60" xfId="0" applyNumberFormat="1" applyFont="1" applyBorder="1" applyAlignment="1">
      <alignment/>
    </xf>
    <xf numFmtId="9" fontId="217" fillId="0" borderId="0" xfId="0" applyNumberFormat="1" applyFont="1" applyAlignment="1">
      <alignment/>
    </xf>
    <xf numFmtId="0" fontId="202" fillId="77" borderId="0" xfId="0" applyFont="1" applyFill="1" applyAlignment="1">
      <alignment/>
    </xf>
    <xf numFmtId="0" fontId="203" fillId="78" borderId="0" xfId="0" applyFont="1" applyFill="1" applyAlignment="1">
      <alignment/>
    </xf>
    <xf numFmtId="0" fontId="204" fillId="79" borderId="56" xfId="0" applyFont="1" applyFill="1" applyBorder="1" applyAlignment="1">
      <alignment horizontal="left"/>
    </xf>
    <xf numFmtId="0" fontId="0" fillId="79" borderId="56" xfId="0" applyFont="1" applyFill="1" applyBorder="1" applyAlignment="1">
      <alignment horizontal="left" indent="2"/>
    </xf>
    <xf numFmtId="0" fontId="205" fillId="0" borderId="4" xfId="0" applyFont="1" applyBorder="1" applyAlignment="1">
      <alignment/>
    </xf>
    <xf numFmtId="14" fontId="193" fillId="0" borderId="4" xfId="0" applyNumberFormat="1" applyFont="1" applyBorder="1" applyAlignment="1">
      <alignment/>
    </xf>
    <xf numFmtId="258" fontId="193" fillId="0" borderId="4" xfId="0" applyNumberFormat="1" applyFont="1" applyBorder="1" applyAlignment="1">
      <alignment/>
    </xf>
    <xf numFmtId="0" fontId="0" fillId="79" borderId="56" xfId="0" applyFill="1" applyBorder="1" applyAlignment="1">
      <alignment horizontal="left" indent="2"/>
    </xf>
    <xf numFmtId="9" fontId="206" fillId="0" borderId="0" xfId="888" applyFont="1" applyAlignment="1">
      <alignment/>
    </xf>
    <xf numFmtId="6" fontId="206" fillId="0" borderId="0" xfId="0" applyNumberFormat="1" applyFont="1" applyAlignment="1">
      <alignment/>
    </xf>
    <xf numFmtId="164" fontId="207" fillId="0" borderId="0" xfId="609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39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7" fillId="0" borderId="0" xfId="0" applyFont="1" applyAlignment="1">
      <alignment/>
    </xf>
    <xf numFmtId="0" fontId="206" fillId="0" borderId="8" xfId="0" applyFont="1" applyBorder="1" applyAlignment="1">
      <alignment/>
    </xf>
    <xf numFmtId="164" fontId="0" fillId="0" borderId="52" xfId="0" applyNumberFormat="1" applyBorder="1" applyAlignment="1">
      <alignment/>
    </xf>
    <xf numFmtId="254" fontId="193" fillId="0" borderId="65" xfId="0" applyNumberFormat="1" applyFont="1" applyBorder="1" applyAlignment="1">
      <alignment/>
    </xf>
    <xf numFmtId="0" fontId="0" fillId="0" borderId="0" xfId="0" applyAlignment="1" quotePrefix="1">
      <alignment/>
    </xf>
    <xf numFmtId="0" fontId="208" fillId="77" borderId="56" xfId="0" applyFont="1" applyFill="1" applyBorder="1" applyAlignment="1">
      <alignment/>
    </xf>
    <xf numFmtId="254" fontId="0" fillId="0" borderId="52" xfId="0" applyNumberFormat="1" applyBorder="1" applyAlignment="1">
      <alignment/>
    </xf>
    <xf numFmtId="164" fontId="143" fillId="0" borderId="0" xfId="0" applyNumberFormat="1" applyFont="1" applyBorder="1" applyAlignment="1">
      <alignment/>
    </xf>
    <xf numFmtId="164" fontId="0" fillId="0" borderId="0" xfId="609" applyNumberFormat="1" applyFont="1" applyBorder="1" applyAlignment="1">
      <alignment/>
    </xf>
    <xf numFmtId="164" fontId="0" fillId="0" borderId="66" xfId="0" applyNumberFormat="1" applyBorder="1" applyAlignment="1">
      <alignment/>
    </xf>
    <xf numFmtId="0" fontId="202" fillId="77" borderId="0" xfId="0" applyFont="1" applyFill="1" applyBorder="1" applyAlignment="1">
      <alignment/>
    </xf>
    <xf numFmtId="0" fontId="202" fillId="77" borderId="60" xfId="0" applyFont="1" applyFill="1" applyBorder="1" applyAlignment="1">
      <alignment/>
    </xf>
    <xf numFmtId="164" fontId="0" fillId="0" borderId="60" xfId="0" applyNumberFormat="1" applyBorder="1" applyAlignment="1">
      <alignment/>
    </xf>
    <xf numFmtId="0" fontId="204" fillId="79" borderId="67" xfId="0" applyFont="1" applyFill="1" applyBorder="1" applyAlignment="1">
      <alignment horizontal="left"/>
    </xf>
    <xf numFmtId="0" fontId="0" fillId="0" borderId="7" xfId="0" applyBorder="1" applyAlignment="1">
      <alignment/>
    </xf>
    <xf numFmtId="254" fontId="0" fillId="0" borderId="0" xfId="0" applyNumberFormat="1" applyBorder="1" applyAlignment="1">
      <alignment/>
    </xf>
    <xf numFmtId="164" fontId="193" fillId="0" borderId="65" xfId="609" applyNumberFormat="1" applyFont="1" applyBorder="1" applyAlignment="1">
      <alignment/>
    </xf>
    <xf numFmtId="164" fontId="143" fillId="0" borderId="73" xfId="609" applyNumberFormat="1" applyFont="1" applyBorder="1" applyAlignment="1">
      <alignment/>
    </xf>
    <xf numFmtId="167" fontId="206" fillId="0" borderId="0" xfId="574" applyNumberFormat="1" applyFont="1" applyAlignment="1">
      <alignment horizontal="left" indent="1"/>
    </xf>
    <xf numFmtId="164" fontId="193" fillId="0" borderId="52" xfId="609" applyNumberFormat="1" applyFont="1" applyBorder="1" applyAlignment="1">
      <alignment/>
    </xf>
    <xf numFmtId="254" fontId="0" fillId="0" borderId="65" xfId="0" applyNumberFormat="1" applyBorder="1" applyAlignment="1">
      <alignment/>
    </xf>
    <xf numFmtId="254" fontId="143" fillId="0" borderId="65" xfId="0" applyNumberFormat="1" applyFont="1" applyBorder="1" applyAlignment="1">
      <alignment/>
    </xf>
    <xf numFmtId="254" fontId="193" fillId="0" borderId="52" xfId="0" applyNumberFormat="1" applyFont="1" applyBorder="1" applyAlignment="1">
      <alignment/>
    </xf>
    <xf numFmtId="254" fontId="0" fillId="0" borderId="60" xfId="0" applyNumberFormat="1" applyBorder="1" applyAlignment="1">
      <alignment/>
    </xf>
    <xf numFmtId="164" fontId="209" fillId="0" borderId="0" xfId="609" applyNumberFormat="1" applyFont="1" applyAlignment="1" quotePrefix="1">
      <alignment/>
    </xf>
    <xf numFmtId="255" fontId="0" fillId="0" borderId="0" xfId="0" applyNumberFormat="1" applyBorder="1" applyAlignment="1">
      <alignment/>
    </xf>
    <xf numFmtId="0" fontId="0" fillId="0" borderId="8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210" fillId="0" borderId="0" xfId="0" applyFont="1" applyAlignment="1">
      <alignment/>
    </xf>
    <xf numFmtId="164" fontId="0" fillId="0" borderId="65" xfId="0" applyNumberFormat="1" applyBorder="1" applyAlignment="1">
      <alignment/>
    </xf>
    <xf numFmtId="164" fontId="0" fillId="0" borderId="55" xfId="0" applyNumberFormat="1" applyBorder="1" applyAlignment="1">
      <alignment/>
    </xf>
    <xf numFmtId="164" fontId="143" fillId="0" borderId="65" xfId="0" applyNumberFormat="1" applyFont="1" applyFill="1" applyBorder="1" applyAlignment="1">
      <alignment/>
    </xf>
    <xf numFmtId="164" fontId="143" fillId="0" borderId="60" xfId="609" applyNumberFormat="1" applyFont="1" applyFill="1" applyBorder="1" applyAlignment="1">
      <alignment/>
    </xf>
    <xf numFmtId="254" fontId="143" fillId="0" borderId="60" xfId="0" applyNumberFormat="1" applyFont="1" applyBorder="1" applyAlignment="1">
      <alignment/>
    </xf>
    <xf numFmtId="253" fontId="143" fillId="0" borderId="54" xfId="0" applyNumberFormat="1" applyFont="1" applyFill="1" applyBorder="1" applyAlignment="1">
      <alignment horizontal="right"/>
    </xf>
    <xf numFmtId="253" fontId="143" fillId="0" borderId="55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609" applyNumberFormat="1" applyFont="1" applyAlignment="1">
      <alignment/>
    </xf>
    <xf numFmtId="164" fontId="0" fillId="0" borderId="0" xfId="609" applyNumberFormat="1" applyFont="1" applyBorder="1" applyAlignment="1">
      <alignment/>
    </xf>
    <xf numFmtId="254" fontId="0" fillId="0" borderId="0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Fill="1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143" fillId="0" borderId="0" xfId="0" applyFont="1" applyBorder="1" applyAlignment="1">
      <alignment/>
    </xf>
    <xf numFmtId="254" fontId="143" fillId="0" borderId="0" xfId="0" applyNumberFormat="1" applyFont="1" applyBorder="1" applyAlignment="1">
      <alignment/>
    </xf>
    <xf numFmtId="164" fontId="143" fillId="0" borderId="0" xfId="609" applyNumberFormat="1" applyFont="1" applyBorder="1" applyAlignment="1">
      <alignment/>
    </xf>
    <xf numFmtId="164" fontId="215" fillId="0" borderId="8" xfId="0" applyNumberFormat="1" applyFont="1" applyBorder="1" applyAlignment="1">
      <alignment horizontal="right" indent="1"/>
    </xf>
    <xf numFmtId="164" fontId="215" fillId="0" borderId="0" xfId="0" applyNumberFormat="1" applyFont="1" applyBorder="1" applyAlignment="1">
      <alignment horizontal="right" indent="1"/>
    </xf>
    <xf numFmtId="164" fontId="0" fillId="0" borderId="60" xfId="609" applyNumberFormat="1" applyFont="1" applyBorder="1" applyAlignment="1">
      <alignment/>
    </xf>
    <xf numFmtId="0" fontId="193" fillId="0" borderId="59" xfId="0" applyFont="1" applyBorder="1" applyAlignment="1">
      <alignment/>
    </xf>
    <xf numFmtId="164" fontId="143" fillId="0" borderId="0" xfId="0" applyNumberFormat="1" applyFont="1" applyFill="1" applyBorder="1" applyAlignment="1">
      <alignment/>
    </xf>
    <xf numFmtId="0" fontId="143" fillId="0" borderId="39" xfId="0" applyFont="1" applyBorder="1" applyAlignment="1">
      <alignment/>
    </xf>
    <xf numFmtId="168" fontId="0" fillId="0" borderId="0" xfId="0" applyNumberFormat="1" applyFill="1" applyBorder="1" applyAlignment="1">
      <alignment/>
    </xf>
    <xf numFmtId="0" fontId="215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56" xfId="0" applyFill="1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right" indent="1"/>
    </xf>
    <xf numFmtId="0" fontId="0" fillId="0" borderId="59" xfId="0" applyBorder="1" applyAlignment="1">
      <alignment horizontal="left" indent="1"/>
    </xf>
    <xf numFmtId="0" fontId="0" fillId="0" borderId="54" xfId="0" applyBorder="1" applyAlignment="1">
      <alignment horizontal="left" indent="1"/>
    </xf>
    <xf numFmtId="0" fontId="0" fillId="0" borderId="67" xfId="0" applyFill="1" applyBorder="1" applyAlignment="1">
      <alignment/>
    </xf>
    <xf numFmtId="164" fontId="143" fillId="0" borderId="60" xfId="0" applyNumberFormat="1" applyFont="1" applyFill="1" applyBorder="1" applyAlignment="1">
      <alignment/>
    </xf>
    <xf numFmtId="0" fontId="0" fillId="0" borderId="67" xfId="0" applyBorder="1" applyAlignment="1">
      <alignment/>
    </xf>
    <xf numFmtId="0" fontId="0" fillId="0" borderId="59" xfId="0" applyFill="1" applyBorder="1" applyAlignment="1">
      <alignment horizontal="left" indent="1"/>
    </xf>
    <xf numFmtId="0" fontId="0" fillId="0" borderId="54" xfId="0" applyFill="1" applyBorder="1" applyAlignment="1">
      <alignment horizontal="left" inden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 indent="1"/>
    </xf>
    <xf numFmtId="259" fontId="143" fillId="0" borderId="0" xfId="0" applyNumberFormat="1" applyFont="1" applyBorder="1" applyAlignment="1">
      <alignment/>
    </xf>
    <xf numFmtId="260" fontId="143" fillId="0" borderId="0" xfId="0" applyNumberFormat="1" applyFont="1" applyBorder="1" applyAlignment="1">
      <alignment/>
    </xf>
    <xf numFmtId="261" fontId="21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212" fillId="0" borderId="0" xfId="0" applyFont="1" applyAlignment="1">
      <alignment/>
    </xf>
    <xf numFmtId="0" fontId="213" fillId="0" borderId="8" xfId="0" applyFont="1" applyBorder="1" applyAlignment="1">
      <alignment horizontal="left"/>
    </xf>
    <xf numFmtId="0" fontId="172" fillId="0" borderId="8" xfId="0" applyFont="1" applyBorder="1" applyAlignment="1">
      <alignment horizontal="left" indent="1"/>
    </xf>
    <xf numFmtId="164" fontId="143" fillId="0" borderId="60" xfId="609" applyNumberFormat="1" applyFont="1" applyBorder="1" applyAlignment="1">
      <alignment/>
    </xf>
    <xf numFmtId="0" fontId="172" fillId="0" borderId="59" xfId="0" applyFont="1" applyBorder="1" applyAlignment="1">
      <alignment horizontal="left" indent="1"/>
    </xf>
    <xf numFmtId="0" fontId="172" fillId="0" borderId="54" xfId="0" applyFont="1" applyBorder="1" applyAlignment="1">
      <alignment horizontal="left" indent="1"/>
    </xf>
    <xf numFmtId="0" fontId="214" fillId="0" borderId="55" xfId="0" applyFont="1" applyBorder="1" applyAlignment="1">
      <alignment/>
    </xf>
    <xf numFmtId="0" fontId="214" fillId="0" borderId="56" xfId="0" applyFont="1" applyBorder="1" applyAlignment="1">
      <alignment horizontal="left" indent="2"/>
    </xf>
    <xf numFmtId="0" fontId="214" fillId="0" borderId="0" xfId="0" applyFont="1" applyBorder="1" applyAlignment="1">
      <alignment horizontal="left" indent="2"/>
    </xf>
    <xf numFmtId="0" fontId="172" fillId="0" borderId="67" xfId="0" applyFont="1" applyBorder="1" applyAlignment="1">
      <alignment horizontal="left" indent="1"/>
    </xf>
    <xf numFmtId="0" fontId="214" fillId="0" borderId="69" xfId="0" applyFont="1" applyBorder="1" applyAlignment="1">
      <alignment/>
    </xf>
    <xf numFmtId="0" fontId="214" fillId="0" borderId="57" xfId="0" applyFont="1" applyBorder="1" applyAlignment="1">
      <alignment horizontal="left" indent="2"/>
    </xf>
    <xf numFmtId="0" fontId="214" fillId="0" borderId="39" xfId="0" applyFont="1" applyBorder="1" applyAlignment="1">
      <alignment horizontal="left" indent="2"/>
    </xf>
    <xf numFmtId="164" fontId="196" fillId="0" borderId="70" xfId="0" applyNumberFormat="1" applyFont="1" applyBorder="1" applyAlignment="1">
      <alignment/>
    </xf>
    <xf numFmtId="164" fontId="196" fillId="0" borderId="71" xfId="0" applyNumberFormat="1" applyFont="1" applyBorder="1" applyAlignment="1">
      <alignment/>
    </xf>
    <xf numFmtId="0" fontId="194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43" fillId="0" borderId="0" xfId="0" applyFont="1" applyAlignment="1">
      <alignment horizontal="left" indent="2"/>
    </xf>
    <xf numFmtId="165" fontId="143" fillId="0" borderId="0" xfId="0" applyNumberFormat="1" applyFont="1" applyAlignment="1">
      <alignment/>
    </xf>
    <xf numFmtId="9" fontId="143" fillId="0" borderId="0" xfId="0" applyNumberFormat="1" applyFont="1" applyAlignment="1">
      <alignment/>
    </xf>
    <xf numFmtId="10" fontId="143" fillId="0" borderId="0" xfId="0" applyNumberFormat="1" applyFont="1" applyAlignment="1">
      <alignment/>
    </xf>
    <xf numFmtId="167" fontId="143" fillId="0" borderId="0" xfId="574" applyNumberFormat="1" applyFont="1" applyAlignment="1">
      <alignment horizontal="left" indent="1"/>
    </xf>
    <xf numFmtId="10" fontId="143" fillId="0" borderId="0" xfId="888" applyNumberFormat="1" applyFont="1" applyAlignment="1">
      <alignment/>
    </xf>
    <xf numFmtId="0" fontId="143" fillId="0" borderId="0" xfId="0" applyNumberFormat="1" applyFont="1" applyAlignment="1">
      <alignment/>
    </xf>
    <xf numFmtId="164" fontId="143" fillId="0" borderId="72" xfId="609" applyNumberFormat="1" applyFont="1" applyBorder="1" applyAlignment="1">
      <alignment/>
    </xf>
    <xf numFmtId="0" fontId="143" fillId="0" borderId="54" xfId="0" applyFont="1" applyBorder="1" applyAlignment="1">
      <alignment/>
    </xf>
    <xf numFmtId="254" fontId="146" fillId="0" borderId="52" xfId="0" applyNumberFormat="1" applyFont="1" applyBorder="1" applyAlignment="1">
      <alignment/>
    </xf>
    <xf numFmtId="254" fontId="193" fillId="0" borderId="52" xfId="0" applyNumberFormat="1" applyFont="1" applyBorder="1" applyAlignment="1">
      <alignment/>
    </xf>
    <xf numFmtId="164" fontId="146" fillId="0" borderId="52" xfId="609" applyNumberFormat="1" applyFont="1" applyBorder="1" applyAlignment="1">
      <alignment/>
    </xf>
    <xf numFmtId="164" fontId="193" fillId="0" borderId="52" xfId="609" applyNumberFormat="1" applyFont="1" applyBorder="1" applyAlignment="1">
      <alignment/>
    </xf>
    <xf numFmtId="254" fontId="143" fillId="0" borderId="52" xfId="0" applyNumberFormat="1" applyFont="1" applyBorder="1" applyAlignment="1">
      <alignment/>
    </xf>
    <xf numFmtId="254" fontId="0" fillId="0" borderId="52" xfId="0" applyNumberFormat="1" applyBorder="1" applyAlignment="1">
      <alignment/>
    </xf>
    <xf numFmtId="164" fontId="143" fillId="0" borderId="52" xfId="0" applyNumberFormat="1" applyFont="1" applyBorder="1" applyAlignment="1">
      <alignment/>
    </xf>
    <xf numFmtId="164" fontId="0" fillId="0" borderId="52" xfId="0" applyNumberFormat="1" applyBorder="1" applyAlignment="1">
      <alignment/>
    </xf>
    <xf numFmtId="164" fontId="143" fillId="0" borderId="52" xfId="0" applyNumberFormat="1" applyFont="1" applyFill="1" applyBorder="1" applyAlignment="1">
      <alignment/>
    </xf>
    <xf numFmtId="164" fontId="143" fillId="0" borderId="0" xfId="609" applyNumberFormat="1" applyFont="1" applyFill="1" applyBorder="1" applyAlignment="1">
      <alignment/>
    </xf>
    <xf numFmtId="0" fontId="193" fillId="0" borderId="0" xfId="0" applyFont="1" applyBorder="1" applyAlignment="1">
      <alignment/>
    </xf>
    <xf numFmtId="255" fontId="0" fillId="0" borderId="0" xfId="0" applyNumberFormat="1" applyBorder="1" applyAlignment="1">
      <alignment/>
    </xf>
    <xf numFmtId="0" fontId="193" fillId="0" borderId="54" xfId="0" applyFont="1" applyBorder="1" applyAlignment="1">
      <alignment/>
    </xf>
    <xf numFmtId="0" fontId="0" fillId="0" borderId="54" xfId="0" applyBorder="1" applyAlignment="1">
      <alignment/>
    </xf>
    <xf numFmtId="0" fontId="198" fillId="0" borderId="67" xfId="0" applyFont="1" applyBorder="1" applyAlignment="1">
      <alignment horizontal="right" indent="1"/>
    </xf>
    <xf numFmtId="0" fontId="193" fillId="0" borderId="56" xfId="0" applyFont="1" applyBorder="1" applyAlignment="1">
      <alignment/>
    </xf>
    <xf numFmtId="0" fontId="198" fillId="0" borderId="67" xfId="0" applyFont="1" applyFill="1" applyBorder="1" applyAlignment="1">
      <alignment horizontal="right" indent="1"/>
    </xf>
    <xf numFmtId="0" fontId="0" fillId="0" borderId="56" xfId="0" applyBorder="1" applyAlignment="1">
      <alignment/>
    </xf>
    <xf numFmtId="0" fontId="197" fillId="0" borderId="67" xfId="0" applyFont="1" applyBorder="1" applyAlignment="1">
      <alignment horizontal="right" indent="1"/>
    </xf>
    <xf numFmtId="0" fontId="0" fillId="0" borderId="57" xfId="0" applyBorder="1" applyAlignment="1">
      <alignment/>
    </xf>
    <xf numFmtId="0" fontId="0" fillId="0" borderId="39" xfId="0" applyBorder="1" applyAlignment="1">
      <alignment/>
    </xf>
    <xf numFmtId="0" fontId="0" fillId="0" borderId="58" xfId="0" applyBorder="1" applyAlignment="1">
      <alignment/>
    </xf>
    <xf numFmtId="164" fontId="143" fillId="0" borderId="54" xfId="0" applyNumberFormat="1" applyFont="1" applyBorder="1" applyAlignment="1">
      <alignment/>
    </xf>
    <xf numFmtId="164" fontId="0" fillId="0" borderId="54" xfId="0" applyNumberFormat="1" applyBorder="1" applyAlignment="1">
      <alignment/>
    </xf>
    <xf numFmtId="0" fontId="143" fillId="0" borderId="59" xfId="0" applyFont="1" applyBorder="1" applyAlignment="1">
      <alignment horizontal="left" indent="1"/>
    </xf>
    <xf numFmtId="168" fontId="0" fillId="0" borderId="60" xfId="0" applyNumberFormat="1" applyFill="1" applyBorder="1" applyAlignment="1">
      <alignment/>
    </xf>
    <xf numFmtId="0" fontId="216" fillId="0" borderId="0" xfId="0" applyFont="1" applyBorder="1" applyAlignment="1">
      <alignment horizontal="left" indent="1"/>
    </xf>
    <xf numFmtId="164" fontId="206" fillId="0" borderId="0" xfId="609" applyNumberFormat="1" applyFont="1" applyFill="1" applyAlignment="1">
      <alignment/>
    </xf>
    <xf numFmtId="9" fontId="206" fillId="0" borderId="0" xfId="0" applyNumberFormat="1" applyFont="1" applyFill="1" applyAlignment="1">
      <alignment/>
    </xf>
    <xf numFmtId="164" fontId="143" fillId="0" borderId="60" xfId="0" applyNumberFormat="1" applyFont="1" applyBorder="1" applyAlignment="1">
      <alignment/>
    </xf>
    <xf numFmtId="0" fontId="0" fillId="0" borderId="60" xfId="0" applyBorder="1" applyAlignment="1">
      <alignment/>
    </xf>
    <xf numFmtId="164" fontId="0" fillId="0" borderId="65" xfId="0" applyNumberFormat="1" applyBorder="1" applyAlignment="1">
      <alignment/>
    </xf>
    <xf numFmtId="0" fontId="0" fillId="0" borderId="60" xfId="0" applyBorder="1" applyAlignment="1">
      <alignment/>
    </xf>
    <xf numFmtId="0" fontId="206" fillId="0" borderId="0" xfId="0" applyFont="1" applyAlignment="1">
      <alignment horizontal="right" indent="1"/>
    </xf>
    <xf numFmtId="1" fontId="206" fillId="0" borderId="0" xfId="609" applyNumberFormat="1" applyFont="1" applyFill="1" applyAlignment="1">
      <alignment horizontal="right" indent="1"/>
    </xf>
    <xf numFmtId="0" fontId="206" fillId="0" borderId="0" xfId="0" applyNumberFormat="1" applyFont="1" applyAlignment="1">
      <alignment horizontal="right" indent="1"/>
    </xf>
    <xf numFmtId="164" fontId="143" fillId="0" borderId="60" xfId="0" applyNumberFormat="1" applyFont="1" applyBorder="1" applyAlignment="1">
      <alignment/>
    </xf>
    <xf numFmtId="9" fontId="217" fillId="0" borderId="0" xfId="0" applyNumberFormat="1" applyFont="1" applyAlignment="1">
      <alignment/>
    </xf>
    <xf numFmtId="0" fontId="202" fillId="77" borderId="0" xfId="0" applyFont="1" applyFill="1" applyAlignment="1">
      <alignment/>
    </xf>
    <xf numFmtId="0" fontId="203" fillId="78" borderId="0" xfId="0" applyFont="1" applyFill="1" applyAlignment="1">
      <alignment/>
    </xf>
    <xf numFmtId="0" fontId="204" fillId="79" borderId="56" xfId="0" applyFont="1" applyFill="1" applyBorder="1" applyAlignment="1">
      <alignment horizontal="left"/>
    </xf>
    <xf numFmtId="0" fontId="0" fillId="79" borderId="56" xfId="0" applyFont="1" applyFill="1" applyBorder="1" applyAlignment="1">
      <alignment horizontal="left" indent="2"/>
    </xf>
    <xf numFmtId="0" fontId="205" fillId="0" borderId="4" xfId="0" applyFont="1" applyBorder="1" applyAlignment="1">
      <alignment/>
    </xf>
    <xf numFmtId="14" fontId="193" fillId="0" borderId="4" xfId="0" applyNumberFormat="1" applyFont="1" applyBorder="1" applyAlignment="1">
      <alignment/>
    </xf>
    <xf numFmtId="258" fontId="193" fillId="0" borderId="4" xfId="0" applyNumberFormat="1" applyFont="1" applyBorder="1" applyAlignment="1">
      <alignment/>
    </xf>
    <xf numFmtId="0" fontId="0" fillId="79" borderId="56" xfId="0" applyFill="1" applyBorder="1" applyAlignment="1">
      <alignment horizontal="left" indent="2"/>
    </xf>
    <xf numFmtId="9" fontId="206" fillId="0" borderId="0" xfId="888" applyFont="1" applyAlignment="1">
      <alignment/>
    </xf>
    <xf numFmtId="6" fontId="206" fillId="0" borderId="0" xfId="0" applyNumberFormat="1" applyFont="1" applyAlignment="1">
      <alignment/>
    </xf>
    <xf numFmtId="164" fontId="207" fillId="0" borderId="0" xfId="609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39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7" fillId="0" borderId="0" xfId="0" applyFont="1" applyAlignment="1">
      <alignment/>
    </xf>
    <xf numFmtId="0" fontId="206" fillId="0" borderId="8" xfId="0" applyFont="1" applyBorder="1" applyAlignment="1">
      <alignment/>
    </xf>
    <xf numFmtId="164" fontId="0" fillId="0" borderId="52" xfId="0" applyNumberFormat="1" applyBorder="1" applyAlignment="1">
      <alignment/>
    </xf>
    <xf numFmtId="254" fontId="193" fillId="0" borderId="65" xfId="0" applyNumberFormat="1" applyFont="1" applyBorder="1" applyAlignment="1">
      <alignment/>
    </xf>
    <xf numFmtId="0" fontId="0" fillId="0" borderId="0" xfId="0" applyAlignment="1" quotePrefix="1">
      <alignment/>
    </xf>
    <xf numFmtId="0" fontId="208" fillId="77" borderId="56" xfId="0" applyFont="1" applyFill="1" applyBorder="1" applyAlignment="1">
      <alignment/>
    </xf>
    <xf numFmtId="254" fontId="0" fillId="0" borderId="52" xfId="0" applyNumberFormat="1" applyBorder="1" applyAlignment="1">
      <alignment/>
    </xf>
    <xf numFmtId="164" fontId="143" fillId="0" borderId="0" xfId="0" applyNumberFormat="1" applyFont="1" applyBorder="1" applyAlignment="1">
      <alignment/>
    </xf>
    <xf numFmtId="164" fontId="0" fillId="0" borderId="0" xfId="609" applyNumberFormat="1" applyFont="1" applyBorder="1" applyAlignment="1">
      <alignment/>
    </xf>
    <xf numFmtId="164" fontId="0" fillId="0" borderId="66" xfId="0" applyNumberFormat="1" applyBorder="1" applyAlignment="1">
      <alignment/>
    </xf>
    <xf numFmtId="0" fontId="202" fillId="77" borderId="0" xfId="0" applyFont="1" applyFill="1" applyBorder="1" applyAlignment="1">
      <alignment/>
    </xf>
    <xf numFmtId="0" fontId="202" fillId="77" borderId="60" xfId="0" applyFont="1" applyFill="1" applyBorder="1" applyAlignment="1">
      <alignment/>
    </xf>
    <xf numFmtId="164" fontId="0" fillId="0" borderId="60" xfId="0" applyNumberFormat="1" applyBorder="1" applyAlignment="1">
      <alignment/>
    </xf>
    <xf numFmtId="0" fontId="204" fillId="79" borderId="67" xfId="0" applyFont="1" applyFill="1" applyBorder="1" applyAlignment="1">
      <alignment horizontal="left"/>
    </xf>
    <xf numFmtId="0" fontId="0" fillId="0" borderId="7" xfId="0" applyBorder="1" applyAlignment="1">
      <alignment/>
    </xf>
    <xf numFmtId="254" fontId="0" fillId="0" borderId="0" xfId="0" applyNumberFormat="1" applyBorder="1" applyAlignment="1">
      <alignment/>
    </xf>
    <xf numFmtId="164" fontId="193" fillId="0" borderId="65" xfId="609" applyNumberFormat="1" applyFont="1" applyBorder="1" applyAlignment="1">
      <alignment/>
    </xf>
    <xf numFmtId="164" fontId="143" fillId="0" borderId="73" xfId="609" applyNumberFormat="1" applyFont="1" applyBorder="1" applyAlignment="1">
      <alignment/>
    </xf>
    <xf numFmtId="167" fontId="206" fillId="0" borderId="0" xfId="574" applyNumberFormat="1" applyFont="1" applyAlignment="1">
      <alignment horizontal="left" indent="1"/>
    </xf>
    <xf numFmtId="164" fontId="193" fillId="0" borderId="52" xfId="609" applyNumberFormat="1" applyFont="1" applyBorder="1" applyAlignment="1">
      <alignment/>
    </xf>
    <xf numFmtId="254" fontId="0" fillId="0" borderId="65" xfId="0" applyNumberFormat="1" applyBorder="1" applyAlignment="1">
      <alignment/>
    </xf>
    <xf numFmtId="254" fontId="143" fillId="0" borderId="65" xfId="0" applyNumberFormat="1" applyFont="1" applyBorder="1" applyAlignment="1">
      <alignment/>
    </xf>
    <xf numFmtId="254" fontId="193" fillId="0" borderId="52" xfId="0" applyNumberFormat="1" applyFont="1" applyBorder="1" applyAlignment="1">
      <alignment/>
    </xf>
    <xf numFmtId="254" fontId="0" fillId="0" borderId="60" xfId="0" applyNumberFormat="1" applyBorder="1" applyAlignment="1">
      <alignment/>
    </xf>
    <xf numFmtId="164" fontId="209" fillId="0" borderId="0" xfId="609" applyNumberFormat="1" applyFont="1" applyAlignment="1" quotePrefix="1">
      <alignment/>
    </xf>
    <xf numFmtId="255" fontId="0" fillId="0" borderId="0" xfId="0" applyNumberFormat="1" applyBorder="1" applyAlignment="1">
      <alignment/>
    </xf>
    <xf numFmtId="0" fontId="0" fillId="0" borderId="8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210" fillId="0" borderId="0" xfId="0" applyFont="1" applyAlignment="1">
      <alignment/>
    </xf>
    <xf numFmtId="164" fontId="0" fillId="0" borderId="65" xfId="0" applyNumberFormat="1" applyBorder="1" applyAlignment="1">
      <alignment/>
    </xf>
    <xf numFmtId="164" fontId="0" fillId="0" borderId="55" xfId="0" applyNumberFormat="1" applyBorder="1" applyAlignment="1">
      <alignment/>
    </xf>
    <xf numFmtId="164" fontId="143" fillId="0" borderId="65" xfId="0" applyNumberFormat="1" applyFont="1" applyFill="1" applyBorder="1" applyAlignment="1">
      <alignment/>
    </xf>
    <xf numFmtId="164" fontId="143" fillId="0" borderId="60" xfId="609" applyNumberFormat="1" applyFont="1" applyFill="1" applyBorder="1" applyAlignment="1">
      <alignment/>
    </xf>
    <xf numFmtId="254" fontId="143" fillId="0" borderId="60" xfId="0" applyNumberFormat="1" applyFont="1" applyBorder="1" applyAlignment="1">
      <alignment/>
    </xf>
    <xf numFmtId="253" fontId="143" fillId="0" borderId="54" xfId="0" applyNumberFormat="1" applyFont="1" applyFill="1" applyBorder="1" applyAlignment="1">
      <alignment horizontal="right"/>
    </xf>
    <xf numFmtId="253" fontId="143" fillId="0" borderId="55" xfId="0" applyNumberFormat="1" applyFont="1" applyFill="1" applyBorder="1" applyAlignment="1">
      <alignment horizontal="right"/>
    </xf>
    <xf numFmtId="0" fontId="213" fillId="0" borderId="0" xfId="0" applyFont="1" applyAlignment="1">
      <alignment/>
    </xf>
    <xf numFmtId="0" fontId="213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609" applyNumberFormat="1" applyFont="1" applyAlignment="1">
      <alignment/>
    </xf>
    <xf numFmtId="164" fontId="0" fillId="0" borderId="0" xfId="609" applyNumberFormat="1" applyFont="1" applyBorder="1" applyAlignment="1">
      <alignment/>
    </xf>
    <xf numFmtId="254" fontId="0" fillId="0" borderId="0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Fill="1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>
      <alignment horizontal="left" indent="2"/>
    </xf>
    <xf numFmtId="0" fontId="201" fillId="0" borderId="0" xfId="0" applyFont="1" applyAlignment="1">
      <alignment horizontal="left" indent="2"/>
    </xf>
    <xf numFmtId="164" fontId="143" fillId="0" borderId="0" xfId="609" applyNumberFormat="1" applyFont="1" applyAlignment="1">
      <alignment/>
    </xf>
    <xf numFmtId="0" fontId="143" fillId="0" borderId="0" xfId="0" applyFont="1" applyBorder="1" applyAlignment="1">
      <alignment/>
    </xf>
    <xf numFmtId="164" fontId="143" fillId="0" borderId="0" xfId="0" applyNumberFormat="1" applyFont="1" applyBorder="1" applyAlignment="1">
      <alignment/>
    </xf>
    <xf numFmtId="0" fontId="143" fillId="0" borderId="0" xfId="0" applyFont="1" applyAlignment="1">
      <alignment/>
    </xf>
    <xf numFmtId="254" fontId="143" fillId="0" borderId="0" xfId="0" applyNumberFormat="1" applyFont="1" applyBorder="1" applyAlignment="1">
      <alignment/>
    </xf>
    <xf numFmtId="164" fontId="143" fillId="0" borderId="0" xfId="609" applyNumberFormat="1" applyFont="1" applyBorder="1" applyAlignment="1">
      <alignment/>
    </xf>
    <xf numFmtId="164" fontId="215" fillId="0" borderId="8" xfId="0" applyNumberFormat="1" applyFont="1" applyBorder="1" applyAlignment="1">
      <alignment horizontal="right" indent="1"/>
    </xf>
    <xf numFmtId="164" fontId="215" fillId="0" borderId="0" xfId="0" applyNumberFormat="1" applyFont="1" applyBorder="1" applyAlignment="1">
      <alignment horizontal="right" indent="1"/>
    </xf>
    <xf numFmtId="164" fontId="0" fillId="0" borderId="60" xfId="609" applyNumberFormat="1" applyFont="1" applyBorder="1" applyAlignment="1">
      <alignment/>
    </xf>
    <xf numFmtId="0" fontId="193" fillId="0" borderId="59" xfId="0" applyFont="1" applyBorder="1" applyAlignment="1">
      <alignment/>
    </xf>
    <xf numFmtId="164" fontId="209" fillId="0" borderId="0" xfId="609" applyNumberFormat="1" applyFont="1" applyAlignment="1">
      <alignment/>
    </xf>
    <xf numFmtId="0" fontId="0" fillId="0" borderId="0" xfId="0" applyFill="1" applyAlignment="1">
      <alignment horizontal="left" indent="2"/>
    </xf>
    <xf numFmtId="164" fontId="143" fillId="0" borderId="0" xfId="0" applyNumberFormat="1" applyFont="1" applyFill="1" applyBorder="1" applyAlignment="1">
      <alignment/>
    </xf>
    <xf numFmtId="0" fontId="211" fillId="0" borderId="0" xfId="0" applyFont="1" applyAlignment="1">
      <alignment/>
    </xf>
    <xf numFmtId="0" fontId="143" fillId="0" borderId="39" xfId="0" applyFont="1" applyBorder="1" applyAlignment="1">
      <alignment/>
    </xf>
    <xf numFmtId="168" fontId="0" fillId="0" borderId="0" xfId="0" applyNumberFormat="1" applyFill="1" applyBorder="1" applyAlignment="1">
      <alignment/>
    </xf>
    <xf numFmtId="0" fontId="215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56" xfId="0" applyFill="1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right" indent="1"/>
    </xf>
    <xf numFmtId="0" fontId="0" fillId="0" borderId="59" xfId="0" applyBorder="1" applyAlignment="1">
      <alignment horizontal="left" indent="1"/>
    </xf>
    <xf numFmtId="0" fontId="0" fillId="0" borderId="54" xfId="0" applyBorder="1" applyAlignment="1">
      <alignment horizontal="left" indent="1"/>
    </xf>
    <xf numFmtId="0" fontId="0" fillId="0" borderId="67" xfId="0" applyFill="1" applyBorder="1" applyAlignment="1">
      <alignment/>
    </xf>
    <xf numFmtId="164" fontId="143" fillId="0" borderId="60" xfId="0" applyNumberFormat="1" applyFont="1" applyFill="1" applyBorder="1" applyAlignment="1">
      <alignment/>
    </xf>
    <xf numFmtId="0" fontId="0" fillId="0" borderId="67" xfId="0" applyBorder="1" applyAlignment="1">
      <alignment/>
    </xf>
    <xf numFmtId="0" fontId="0" fillId="0" borderId="59" xfId="0" applyFill="1" applyBorder="1" applyAlignment="1">
      <alignment horizontal="left" indent="1"/>
    </xf>
    <xf numFmtId="0" fontId="0" fillId="0" borderId="54" xfId="0" applyFill="1" applyBorder="1" applyAlignment="1">
      <alignment horizontal="left" inden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164" fontId="206" fillId="0" borderId="0" xfId="0" applyNumberFormat="1" applyFont="1" applyAlignment="1">
      <alignment/>
    </xf>
    <xf numFmtId="165" fontId="206" fillId="0" borderId="0" xfId="0" applyNumberFormat="1" applyFont="1" applyAlignment="1">
      <alignment/>
    </xf>
    <xf numFmtId="9" fontId="206" fillId="0" borderId="0" xfId="0" applyNumberFormat="1" applyFont="1" applyAlignment="1">
      <alignment/>
    </xf>
    <xf numFmtId="10" fontId="206" fillId="0" borderId="0" xfId="0" applyNumberFormat="1" applyFont="1" applyAlignment="1">
      <alignment/>
    </xf>
    <xf numFmtId="164" fontId="206" fillId="0" borderId="0" xfId="609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 indent="1"/>
    </xf>
    <xf numFmtId="259" fontId="143" fillId="0" borderId="0" xfId="0" applyNumberFormat="1" applyFont="1" applyBorder="1" applyAlignment="1">
      <alignment/>
    </xf>
    <xf numFmtId="260" fontId="143" fillId="0" borderId="0" xfId="0" applyNumberFormat="1" applyFont="1" applyBorder="1" applyAlignment="1">
      <alignment/>
    </xf>
    <xf numFmtId="261" fontId="21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212" fillId="0" borderId="0" xfId="0" applyFont="1" applyAlignment="1">
      <alignment/>
    </xf>
    <xf numFmtId="0" fontId="213" fillId="0" borderId="8" xfId="0" applyFont="1" applyBorder="1" applyAlignment="1">
      <alignment horizontal="left"/>
    </xf>
    <xf numFmtId="0" fontId="172" fillId="0" borderId="8" xfId="0" applyFont="1" applyBorder="1" applyAlignment="1">
      <alignment horizontal="left" indent="1"/>
    </xf>
    <xf numFmtId="164" fontId="143" fillId="0" borderId="60" xfId="609" applyNumberFormat="1" applyFont="1" applyBorder="1" applyAlignment="1">
      <alignment/>
    </xf>
    <xf numFmtId="0" fontId="172" fillId="0" borderId="59" xfId="0" applyFont="1" applyBorder="1" applyAlignment="1">
      <alignment horizontal="left" indent="1"/>
    </xf>
    <xf numFmtId="0" fontId="172" fillId="0" borderId="54" xfId="0" applyFont="1" applyBorder="1" applyAlignment="1">
      <alignment horizontal="left" indent="1"/>
    </xf>
    <xf numFmtId="0" fontId="214" fillId="0" borderId="55" xfId="0" applyFont="1" applyBorder="1" applyAlignment="1">
      <alignment/>
    </xf>
    <xf numFmtId="0" fontId="214" fillId="0" borderId="56" xfId="0" applyFont="1" applyBorder="1" applyAlignment="1">
      <alignment horizontal="left" indent="2"/>
    </xf>
    <xf numFmtId="0" fontId="214" fillId="0" borderId="0" xfId="0" applyFont="1" applyBorder="1" applyAlignment="1">
      <alignment horizontal="left" indent="2"/>
    </xf>
    <xf numFmtId="0" fontId="172" fillId="0" borderId="67" xfId="0" applyFont="1" applyBorder="1" applyAlignment="1">
      <alignment horizontal="left" indent="1"/>
    </xf>
    <xf numFmtId="0" fontId="214" fillId="0" borderId="69" xfId="0" applyFont="1" applyBorder="1" applyAlignment="1">
      <alignment/>
    </xf>
    <xf numFmtId="0" fontId="214" fillId="0" borderId="57" xfId="0" applyFont="1" applyBorder="1" applyAlignment="1">
      <alignment horizontal="left" indent="2"/>
    </xf>
    <xf numFmtId="0" fontId="214" fillId="0" borderId="39" xfId="0" applyFont="1" applyBorder="1" applyAlignment="1">
      <alignment horizontal="left" indent="2"/>
    </xf>
    <xf numFmtId="164" fontId="196" fillId="0" borderId="70" xfId="0" applyNumberFormat="1" applyFont="1" applyBorder="1" applyAlignment="1">
      <alignment/>
    </xf>
    <xf numFmtId="164" fontId="196" fillId="0" borderId="71" xfId="0" applyNumberFormat="1" applyFont="1" applyBorder="1" applyAlignment="1">
      <alignment/>
    </xf>
    <xf numFmtId="0" fontId="194" fillId="0" borderId="0" xfId="0" applyFont="1" applyAlignment="1">
      <alignment/>
    </xf>
    <xf numFmtId="164" fontId="0" fillId="0" borderId="0" xfId="609" applyNumberFormat="1" applyFont="1" applyBorder="1" applyAlignment="1">
      <alignment/>
    </xf>
    <xf numFmtId="0" fontId="143" fillId="0" borderId="56" xfId="0" applyFont="1" applyBorder="1" applyAlignment="1">
      <alignment horizontal="left" indent="1"/>
    </xf>
    <xf numFmtId="0" fontId="0" fillId="0" borderId="0" xfId="0" applyAlignment="1">
      <alignment/>
    </xf>
    <xf numFmtId="10" fontId="206" fillId="0" borderId="0" xfId="0" applyNumberFormat="1" applyFont="1" applyAlignment="1">
      <alignment/>
    </xf>
    <xf numFmtId="4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73" fillId="0" borderId="0" xfId="823" applyAlignment="1">
      <alignment/>
    </xf>
    <xf numFmtId="0" fontId="8" fillId="0" borderId="0" xfId="823" applyFont="1" applyAlignment="1">
      <alignment/>
    </xf>
    <xf numFmtId="10" fontId="8" fillId="0" borderId="0" xfId="899" applyNumberFormat="1" applyFont="1" applyAlignment="1">
      <alignment/>
    </xf>
    <xf numFmtId="10" fontId="8" fillId="0" borderId="0" xfId="899" applyNumberFormat="1" applyFont="1" applyFill="1" applyAlignment="1">
      <alignment/>
    </xf>
    <xf numFmtId="0" fontId="193" fillId="0" borderId="0" xfId="0" applyFont="1" applyAlignment="1">
      <alignment/>
    </xf>
    <xf numFmtId="0" fontId="193" fillId="0" borderId="0" xfId="0" applyFont="1" applyAlignment="1">
      <alignment horizontal="right"/>
    </xf>
    <xf numFmtId="44" fontId="193" fillId="0" borderId="0" xfId="0" applyNumberFormat="1" applyFont="1" applyAlignment="1">
      <alignment/>
    </xf>
    <xf numFmtId="0" fontId="167" fillId="0" borderId="56" xfId="0" applyFont="1" applyBorder="1" applyAlignment="1">
      <alignment horizontal="left"/>
    </xf>
    <xf numFmtId="0" fontId="167" fillId="0" borderId="0" xfId="0" applyFont="1" applyBorder="1" applyAlignment="1">
      <alignment horizontal="left"/>
    </xf>
    <xf numFmtId="0" fontId="197" fillId="0" borderId="0" xfId="0" applyFont="1" applyBorder="1" applyAlignment="1">
      <alignment horizontal="right"/>
    </xf>
    <xf numFmtId="0" fontId="169" fillId="0" borderId="0" xfId="0" applyFont="1" applyBorder="1" applyAlignment="1">
      <alignment horizontal="left" wrapText="1"/>
    </xf>
    <xf numFmtId="0" fontId="198" fillId="0" borderId="0" xfId="0" applyFont="1" applyBorder="1" applyAlignment="1">
      <alignment horizontal="left" wrapText="1"/>
    </xf>
  </cellXfs>
  <cellStyles count="1046">
    <cellStyle name="Normal" xfId="0"/>
    <cellStyle name="_x0013_" xfId="15"/>
    <cellStyle name=" 1" xfId="16"/>
    <cellStyle name="&#13;&#10;JournalTemplate=C:\COMFO\CTALK\JOURSTD.TPL&#13;&#10;LbStateAddress=3 3 0 251 1 89 2 311&#13;&#10;LbStateJou" xfId="17"/>
    <cellStyle name="&#13;&#10;JournalTemplate=C:\COMFO\CTALK\JOURSTD.TPL&#13;&#10;LbStateAddress=3 3 0 251 1 89 2 311&#13;&#10;LbStateJou 18" xfId="18"/>
    <cellStyle name="*MB Hardwired" xfId="19"/>
    <cellStyle name="*MB Input Table Calc" xfId="20"/>
    <cellStyle name="*MB Normal" xfId="21"/>
    <cellStyle name="*MB Normal 2" xfId="22"/>
    <cellStyle name="*MB Placeholder" xfId="23"/>
    <cellStyle name="???" xfId="24"/>
    <cellStyle name="__ [0]___" xfId="25"/>
    <cellStyle name="__ [0]____" xfId="26"/>
    <cellStyle name="__ [0]______" xfId="27"/>
    <cellStyle name="__ [0]__________" xfId="28"/>
    <cellStyle name="__ [0]___________EWC 43.5MW8oMtresc 3_25_021" xfId="29"/>
    <cellStyle name="__ [0]___________EWC 43.5MW8oMtresc 3_25_02v2" xfId="30"/>
    <cellStyle name="__ [0]___________EWC 43.5MW8oMtresc 3_25_02v2w_esc" xfId="31"/>
    <cellStyle name="__ [0]___________Wind farm - operation CF" xfId="32"/>
    <cellStyle name="__ [0]_______EWC 43.5MW8oMtresc 3_25_021" xfId="33"/>
    <cellStyle name="__ [0]_______EWC 43.5MW8oMtresc 3_25_02v2" xfId="34"/>
    <cellStyle name="__ [0]_______EWC 43.5MW8oMtresc 3_25_02v2w_esc" xfId="35"/>
    <cellStyle name="__ [0]_______Wind farm - operation CF" xfId="36"/>
    <cellStyle name="__ [0]_____EWC 43.5MW8oMtresc 3_25_021" xfId="37"/>
    <cellStyle name="__ [0]_____EWC 43.5MW8oMtresc 3_25_02v2" xfId="38"/>
    <cellStyle name="__ [0]_____EWC 43.5MW8oMtresc 3_25_02v2w_esc" xfId="39"/>
    <cellStyle name="__ [0]_____Wind farm - operation CF" xfId="40"/>
    <cellStyle name="__ [0]____EWC 43.5MW8oMtresc 3_25_021" xfId="41"/>
    <cellStyle name="__ [0]____EWC 43.5MW8oMtresc 3_25_02v2" xfId="42"/>
    <cellStyle name="__ [0]____EWC 43.5MW8oMtresc 3_25_02v2w_esc" xfId="43"/>
    <cellStyle name="__ [0]____Wind farm - operation CF" xfId="44"/>
    <cellStyle name="__ [0]_94___" xfId="45"/>
    <cellStyle name="__ [0]_94____EWC 43.5MW8oMtresc 3_25_021" xfId="46"/>
    <cellStyle name="__ [0]_94____EWC 43.5MW8oMtresc 3_25_02v2" xfId="47"/>
    <cellStyle name="__ [0]_94____EWC 43.5MW8oMtresc 3_25_02v2w_esc" xfId="48"/>
    <cellStyle name="__ [0]_94____Wind farm - operation CF" xfId="49"/>
    <cellStyle name="__ [0]_dimon" xfId="50"/>
    <cellStyle name="__ [0]_form" xfId="51"/>
    <cellStyle name="__ [0]_form_EWC 43.5MW8oMtresc 3_25_021" xfId="52"/>
    <cellStyle name="__ [0]_form_EWC 43.5MW8oMtresc 3_25_02v2" xfId="53"/>
    <cellStyle name="__ [0]_form_EWC 43.5MW8oMtresc 3_25_02v2w_esc" xfId="54"/>
    <cellStyle name="__ [0]_form_Wind farm - operation CF" xfId="55"/>
    <cellStyle name="__ [0]_laroux" xfId="56"/>
    <cellStyle name="__ [0]_laroux_1" xfId="57"/>
    <cellStyle name="__ [0]_laroux_1_EWC 43.5MW8oMtresc 3_25_021" xfId="58"/>
    <cellStyle name="__ [0]_laroux_1_EWC 43.5MW8oMtresc 3_25_02v2" xfId="59"/>
    <cellStyle name="__ [0]_laroux_1_EWC 43.5MW8oMtresc 3_25_02v2w_esc" xfId="60"/>
    <cellStyle name="__ [0]_laroux_1_Wind farm - operation CF" xfId="61"/>
    <cellStyle name="__ [0]_laroux_2" xfId="62"/>
    <cellStyle name="__ [0]_laroux_EWC 43.5MW8oMtresc 3_25_021" xfId="63"/>
    <cellStyle name="__ [0]_laroux_EWC 43.5MW8oMtresc 3_25_021_1" xfId="64"/>
    <cellStyle name="__ [0]_laroux_EWC 43.5MW8oMtresc 3_25_02v2" xfId="65"/>
    <cellStyle name="__ [0]_laroux_EWC 43.5MW8oMtresc 3_25_02v2w_esc" xfId="66"/>
    <cellStyle name="__ [0]_laroux_Wind farm - operation CF" xfId="67"/>
    <cellStyle name="__ [0]_PERSONAL" xfId="68"/>
    <cellStyle name="__ [0]_PERSONAL_1" xfId="69"/>
    <cellStyle name="__ [0]_PERSONAL_1_EWC 43.5MW8oMtresc 3_25_021" xfId="70"/>
    <cellStyle name="__ [0]_PERSONAL_1_EWC 43.5MW8oMtresc 3_25_02v2" xfId="71"/>
    <cellStyle name="__ [0]_PERSONAL_1_EWC 43.5MW8oMtresc 3_25_02v2w_esc" xfId="72"/>
    <cellStyle name="__ [0]_PERSONAL_1_Wind farm - operation CF" xfId="73"/>
    <cellStyle name="__ [0]_PERSONAL_2" xfId="74"/>
    <cellStyle name="__ [0]_PERSONAL_2_EWC 43.5MW8oMtresc 3_25_021" xfId="75"/>
    <cellStyle name="__ [0]_PERSONAL_2_EWC 43.5MW8oMtresc 3_25_02v2" xfId="76"/>
    <cellStyle name="__ [0]_PERSONAL_2_EWC 43.5MW8oMtresc 3_25_02v2w_esc" xfId="77"/>
    <cellStyle name="__ [0]_PERSONAL_2_Wind farm - operation CF" xfId="78"/>
    <cellStyle name="__ [0]_PERSONAL_3" xfId="79"/>
    <cellStyle name="__ [0]_PERSONAL_EWC 43.5MW8oMtresc 3_25_021" xfId="80"/>
    <cellStyle name="__ [0]_PERSONAL_EWC 43.5MW8oMtresc 3_25_02v2" xfId="81"/>
    <cellStyle name="__ [0]_PERSONAL_EWC 43.5MW8oMtresc 3_25_02v2w_esc" xfId="82"/>
    <cellStyle name="__ [0]_PERSONAL_EWC 43.5MW8oMtresc 3_25_02v2w_esc_1" xfId="83"/>
    <cellStyle name="__ [0]_PERSONAL_Wind farm - operation CF" xfId="84"/>
    <cellStyle name="__ [0]_Sheet2" xfId="85"/>
    <cellStyle name="____.____" xfId="86"/>
    <cellStyle name="____._____New England Budgets Mar 14" xfId="87"/>
    <cellStyle name="_____" xfId="88"/>
    <cellStyle name="______" xfId="89"/>
    <cellStyle name="_______" xfId="90"/>
    <cellStyle name="________" xfId="91"/>
    <cellStyle name="__________" xfId="92"/>
    <cellStyle name="____________" xfId="93"/>
    <cellStyle name="_____________EWC 43.5MW8oMtresc 3_25_021" xfId="94"/>
    <cellStyle name="_____________EWC 43.5MW8oMtresc 3_25_021_1" xfId="95"/>
    <cellStyle name="_____________EWC 43.5MW8oMtresc 3_25_021_New England Budgets Mar 14" xfId="96"/>
    <cellStyle name="_____________EWC 43.5MW8oMtresc 3_25_02v2" xfId="97"/>
    <cellStyle name="_____________EWC 43.5MW8oMtresc 3_25_02v2_1" xfId="98"/>
    <cellStyle name="_____________EWC 43.5MW8oMtresc 3_25_02v2w_esc" xfId="99"/>
    <cellStyle name="_____________EWC 43.5MW8oMtresc 3_25_02v2w_esc_1" xfId="100"/>
    <cellStyle name="_____________Wind farm - operation CF" xfId="101"/>
    <cellStyle name="_____________Wind farm - operation CF_1" xfId="102"/>
    <cellStyle name="_____________Wind farm - operation CF_New England Budgets Mar 14" xfId="103"/>
    <cellStyle name="___________EWC 43.5MW8oMtresc 3_25_021" xfId="104"/>
    <cellStyle name="___________EWC 43.5MW8oMtresc 3_25_021_New England Budgets Mar 14" xfId="105"/>
    <cellStyle name="___________EWC 43.5MW8oMtresc 3_25_02v2" xfId="106"/>
    <cellStyle name="___________EWC 43.5MW8oMtresc 3_25_02v2_New England Budgets Mar 14" xfId="107"/>
    <cellStyle name="___________EWC 43.5MW8oMtresc 3_25_02v2w_esc" xfId="108"/>
    <cellStyle name="___________EWC 43.5MW8oMtresc 3_25_02v2w_esc_New England Budgets Mar 14" xfId="109"/>
    <cellStyle name="___________New England Budgets Mar 14" xfId="110"/>
    <cellStyle name="___________Wind farm - operation CF" xfId="111"/>
    <cellStyle name="___________Wind farm - operation CF_New England Budgets Mar 14" xfId="112"/>
    <cellStyle name="_________1" xfId="113"/>
    <cellStyle name="_________1_New England Budgets Mar 14" xfId="114"/>
    <cellStyle name="_________2" xfId="115"/>
    <cellStyle name="_________2_New England Budgets Mar 14" xfId="116"/>
    <cellStyle name="_________EWC 43.5MW8oMtresc 3_25_021" xfId="117"/>
    <cellStyle name="_________EWC 43.5MW8oMtresc 3_25_021_1" xfId="118"/>
    <cellStyle name="_________EWC 43.5MW8oMtresc 3_25_021_1_New England Budgets Mar 14" xfId="119"/>
    <cellStyle name="_________EWC 43.5MW8oMtresc 3_25_02v2" xfId="120"/>
    <cellStyle name="_________EWC 43.5MW8oMtresc 3_25_02v2_1" xfId="121"/>
    <cellStyle name="_________EWC 43.5MW8oMtresc 3_25_02v2w_esc" xfId="122"/>
    <cellStyle name="_________EWC 43.5MW8oMtresc 3_25_02v2w_esc_1" xfId="123"/>
    <cellStyle name="_________EWC 43.5MW8oMtresc 3_25_02v2w_esc_New England Budgets Mar 14" xfId="124"/>
    <cellStyle name="_________New England Budgets Mar 14" xfId="125"/>
    <cellStyle name="_________Wind farm - operation CF" xfId="126"/>
    <cellStyle name="_________Wind farm - operation CF_1" xfId="127"/>
    <cellStyle name="________1" xfId="128"/>
    <cellStyle name="________1_New England Budgets Mar 14" xfId="129"/>
    <cellStyle name="________New England Budgets Mar 14" xfId="130"/>
    <cellStyle name="_______EWC 43.5MW8oMtresc 3_25_021" xfId="131"/>
    <cellStyle name="_______EWC 43.5MW8oMtresc 3_25_021_1" xfId="132"/>
    <cellStyle name="_______EWC 43.5MW8oMtresc 3_25_02v2" xfId="133"/>
    <cellStyle name="_______EWC 43.5MW8oMtresc 3_25_02v2_1" xfId="134"/>
    <cellStyle name="_______EWC 43.5MW8oMtresc 3_25_02v2_2" xfId="135"/>
    <cellStyle name="_______EWC 43.5MW8oMtresc 3_25_02v2_2_New England Budgets Mar 14" xfId="136"/>
    <cellStyle name="_______EWC 43.5MW8oMtresc 3_25_02v2w_esc" xfId="137"/>
    <cellStyle name="_______EWC 43.5MW8oMtresc 3_25_02v2w_esc_1" xfId="138"/>
    <cellStyle name="_______EWC 43.5MW8oMtresc 3_25_02v2w_esc_2" xfId="139"/>
    <cellStyle name="_______EWC 43.5MW8oMtresc 3_25_02v2w_esc_New England Budgets Mar 14" xfId="140"/>
    <cellStyle name="_______New England Budgets Mar 14" xfId="141"/>
    <cellStyle name="_______Wind farm - operation CF" xfId="142"/>
    <cellStyle name="_______Wind farm - operation CF_1" xfId="143"/>
    <cellStyle name="______1" xfId="144"/>
    <cellStyle name="______1_New England Budgets Mar 14" xfId="145"/>
    <cellStyle name="______EWC 43.5MW8oMtresc 3_25_021" xfId="146"/>
    <cellStyle name="______EWC 43.5MW8oMtresc 3_25_021_1" xfId="147"/>
    <cellStyle name="______EWC 43.5MW8oMtresc 3_25_021_1_New England Budgets Mar 14" xfId="148"/>
    <cellStyle name="______EWC 43.5MW8oMtresc 3_25_021_2" xfId="149"/>
    <cellStyle name="______EWC 43.5MW8oMtresc 3_25_021_2_New England Budgets Mar 14" xfId="150"/>
    <cellStyle name="______EWC 43.5MW8oMtresc 3_25_02v2" xfId="151"/>
    <cellStyle name="______EWC 43.5MW8oMtresc 3_25_02v2_1" xfId="152"/>
    <cellStyle name="______EWC 43.5MW8oMtresc 3_25_02v2w_esc" xfId="153"/>
    <cellStyle name="______EWC 43.5MW8oMtresc 3_25_02v2w_esc_1" xfId="154"/>
    <cellStyle name="______EWC 43.5MW8oMtresc 3_25_02v2w_esc_2" xfId="155"/>
    <cellStyle name="______EWC 43.5MW8oMtresc 3_25_02v2w_esc_2_New England Budgets Mar 14" xfId="156"/>
    <cellStyle name="______EWC 43.5MW8oMtresc 3_25_02v2w_esc_3" xfId="157"/>
    <cellStyle name="______EWC 43.5MW8oMtresc 3_25_02v2w_esc_New England Budgets Mar 14" xfId="158"/>
    <cellStyle name="______New England Budgets Mar 14" xfId="159"/>
    <cellStyle name="______Wind farm - operation CF" xfId="160"/>
    <cellStyle name="______Wind farm - operation CF_1" xfId="161"/>
    <cellStyle name="______Wind farm - operation CF_2" xfId="162"/>
    <cellStyle name="______Wind farm - operation CF_New England Budgets Mar 14" xfId="163"/>
    <cellStyle name="___94___" xfId="164"/>
    <cellStyle name="___94____EWC 43.5MW8oMtresc 3_25_021" xfId="165"/>
    <cellStyle name="___94____EWC 43.5MW8oMtresc 3_25_021_1" xfId="166"/>
    <cellStyle name="___94____EWC 43.5MW8oMtresc 3_25_02v2" xfId="167"/>
    <cellStyle name="___94____EWC 43.5MW8oMtresc 3_25_02v2w_esc" xfId="168"/>
    <cellStyle name="___94____Wind farm - operation CF" xfId="169"/>
    <cellStyle name="___97___" xfId="170"/>
    <cellStyle name="___97____New England Budgets Mar 14" xfId="171"/>
    <cellStyle name="___970120" xfId="172"/>
    <cellStyle name="___BEBU_GI" xfId="173"/>
    <cellStyle name="___BEBU_GI_New England Budgets Mar 14" xfId="174"/>
    <cellStyle name="___dimon" xfId="175"/>
    <cellStyle name="___dimon_EWC 43.5MW8oMtresc 3_25_021" xfId="176"/>
    <cellStyle name="___dimon_EWC 43.5MW8oMtresc 3_25_021_New England Budgets Mar 14" xfId="177"/>
    <cellStyle name="___dimon_EWC 43.5MW8oMtresc 3_25_02v2" xfId="178"/>
    <cellStyle name="___dimon_EWC 43.5MW8oMtresc 3_25_02v2_New England Budgets Mar 14" xfId="179"/>
    <cellStyle name="___dimon_EWC 43.5MW8oMtresc 3_25_02v2w_esc" xfId="180"/>
    <cellStyle name="___dimon_New England Budgets Mar 14" xfId="181"/>
    <cellStyle name="___dimon_Wind farm - operation CF" xfId="182"/>
    <cellStyle name="___form" xfId="183"/>
    <cellStyle name="___form_EWC 43.5MW8oMtresc 3_25_021" xfId="184"/>
    <cellStyle name="___form_EWC 43.5MW8oMtresc 3_25_021_1" xfId="185"/>
    <cellStyle name="___form_EWC 43.5MW8oMtresc 3_25_021_New England Budgets Mar 14" xfId="186"/>
    <cellStyle name="___form_EWC 43.5MW8oMtresc 3_25_02v2" xfId="187"/>
    <cellStyle name="___form_EWC 43.5MW8oMtresc 3_25_02v2_1" xfId="188"/>
    <cellStyle name="___form_EWC 43.5MW8oMtresc 3_25_02v2w_esc" xfId="189"/>
    <cellStyle name="___form_Wind farm - operation CF" xfId="190"/>
    <cellStyle name="___form_Wind farm - operation CF_1" xfId="191"/>
    <cellStyle name="___form_Wind farm - operation CF_1_New England Budgets Mar 14" xfId="192"/>
    <cellStyle name="___ga_PB" xfId="193"/>
    <cellStyle name="___ga_PB_New England Budgets Mar 14" xfId="194"/>
    <cellStyle name="___laroux" xfId="195"/>
    <cellStyle name="___laroux_1" xfId="196"/>
    <cellStyle name="___laroux_1_EWC 43.5MW8oMtresc 3_25_021" xfId="197"/>
    <cellStyle name="___laroux_1_EWC 43.5MW8oMtresc 3_25_021_1" xfId="198"/>
    <cellStyle name="___laroux_1_EWC 43.5MW8oMtresc 3_25_021_2" xfId="199"/>
    <cellStyle name="___laroux_1_EWC 43.5MW8oMtresc 3_25_021_2_New England Budgets Mar 14" xfId="200"/>
    <cellStyle name="___laroux_1_EWC 43.5MW8oMtresc 3_25_02v2" xfId="201"/>
    <cellStyle name="___laroux_1_EWC 43.5MW8oMtresc 3_25_02v2_1" xfId="202"/>
    <cellStyle name="___laroux_1_EWC 43.5MW8oMtresc 3_25_02v2w_esc" xfId="203"/>
    <cellStyle name="___laroux_1_EWC 43.5MW8oMtresc 3_25_02v2w_esc_1" xfId="204"/>
    <cellStyle name="___laroux_1_EWC 43.5MW8oMtresc 3_25_02v2w_esc_1_New England Budgets Mar 14" xfId="205"/>
    <cellStyle name="___laroux_1_EWC 43.5MW8oMtresc 3_25_02v2w_esc_2" xfId="206"/>
    <cellStyle name="___laroux_1_New England Budgets Mar 14" xfId="207"/>
    <cellStyle name="___laroux_1_Wind farm - operation CF" xfId="208"/>
    <cellStyle name="___laroux_1_Wind farm - operation CF_1" xfId="209"/>
    <cellStyle name="___laroux_2" xfId="210"/>
    <cellStyle name="___laroux_2_EWC 43.5MW8oMtresc 3_25_021" xfId="211"/>
    <cellStyle name="___laroux_2_EWC 43.5MW8oMtresc 3_25_021_1" xfId="212"/>
    <cellStyle name="___laroux_2_EWC 43.5MW8oMtresc 3_25_021_1_New England Budgets Mar 14" xfId="213"/>
    <cellStyle name="___laroux_2_EWC 43.5MW8oMtresc 3_25_02v2" xfId="214"/>
    <cellStyle name="___laroux_2_EWC 43.5MW8oMtresc 3_25_02v2_New England Budgets Mar 14" xfId="215"/>
    <cellStyle name="___laroux_2_EWC 43.5MW8oMtresc 3_25_02v2w_esc" xfId="216"/>
    <cellStyle name="___laroux_2_EWC 43.5MW8oMtresc 3_25_02v2w_esc_1" xfId="217"/>
    <cellStyle name="___laroux_2_EWC 43.5MW8oMtresc 3_25_02v2w_esc_New England Budgets Mar 14" xfId="218"/>
    <cellStyle name="___laroux_2_New England Budgets Mar 14" xfId="219"/>
    <cellStyle name="___laroux_2_Wind farm - operation CF" xfId="220"/>
    <cellStyle name="___laroux_3" xfId="221"/>
    <cellStyle name="___laroux_3_New England Budgets Mar 14" xfId="222"/>
    <cellStyle name="___laroux_4" xfId="223"/>
    <cellStyle name="___laroux_4_New England Budgets Mar 14" xfId="224"/>
    <cellStyle name="___laroux_5" xfId="225"/>
    <cellStyle name="___laroux_6" xfId="226"/>
    <cellStyle name="___laroux_6_New England Budgets Mar 14" xfId="227"/>
    <cellStyle name="___laroux_7" xfId="228"/>
    <cellStyle name="___laroux_7_New England Budgets Mar 14" xfId="229"/>
    <cellStyle name="___laroux_8" xfId="230"/>
    <cellStyle name="___laroux_8_New England Budgets Mar 14" xfId="231"/>
    <cellStyle name="___laroux_EWC 43.5MW8oMtresc 3_25_021" xfId="232"/>
    <cellStyle name="___laroux_EWC 43.5MW8oMtresc 3_25_021_1" xfId="233"/>
    <cellStyle name="___laroux_EWC 43.5MW8oMtresc 3_25_021_New England Budgets Mar 14" xfId="234"/>
    <cellStyle name="___laroux_EWC 43.5MW8oMtresc 3_25_02v2" xfId="235"/>
    <cellStyle name="___laroux_EWC 43.5MW8oMtresc 3_25_02v2_1" xfId="236"/>
    <cellStyle name="___laroux_EWC 43.5MW8oMtresc 3_25_02v2_1_New England Budgets Mar 14" xfId="237"/>
    <cellStyle name="___laroux_EWC 43.5MW8oMtresc 3_25_02v2_2" xfId="238"/>
    <cellStyle name="___laroux_EWC 43.5MW8oMtresc 3_25_02v2w_esc" xfId="239"/>
    <cellStyle name="___laroux_EWC 43.5MW8oMtresc 3_25_02v2w_esc_1" xfId="240"/>
    <cellStyle name="___laroux_EWC 43.5MW8oMtresc 3_25_02v2w_esc_1_New England Budgets Mar 14" xfId="241"/>
    <cellStyle name="___laroux_Wind farm - operation CF" xfId="242"/>
    <cellStyle name="___laroux_Wind farm - operation CF_1" xfId="243"/>
    <cellStyle name="___laroux_Wind farm - operation CF_1_New England Budgets Mar 14" xfId="244"/>
    <cellStyle name="___PERSONAL" xfId="245"/>
    <cellStyle name="___PERSONAL_1" xfId="246"/>
    <cellStyle name="___PERSONAL_1_EWC 43.5MW8oMtresc 3_25_021" xfId="247"/>
    <cellStyle name="___PERSONAL_1_EWC 43.5MW8oMtresc 3_25_021_1" xfId="248"/>
    <cellStyle name="___PERSONAL_1_EWC 43.5MW8oMtresc 3_25_021_New England Budgets Mar 14" xfId="249"/>
    <cellStyle name="___PERSONAL_1_EWC 43.5MW8oMtresc 3_25_02v2" xfId="250"/>
    <cellStyle name="___PERSONAL_1_EWC 43.5MW8oMtresc 3_25_02v2_1" xfId="251"/>
    <cellStyle name="___PERSONAL_1_EWC 43.5MW8oMtresc 3_25_02v2_2" xfId="252"/>
    <cellStyle name="___PERSONAL_1_EWC 43.5MW8oMtresc 3_25_02v2_New England Budgets Mar 14" xfId="253"/>
    <cellStyle name="___PERSONAL_1_EWC 43.5MW8oMtresc 3_25_02v2w_esc" xfId="254"/>
    <cellStyle name="___PERSONAL_1_EWC 43.5MW8oMtresc 3_25_02v2w_esc_1" xfId="255"/>
    <cellStyle name="___PERSONAL_1_Wind farm - operation CF" xfId="256"/>
    <cellStyle name="___PERSONAL_1_Wind farm - operation CF_1" xfId="257"/>
    <cellStyle name="___PERSONAL_1_Wind farm - operation CF_New England Budgets Mar 14" xfId="258"/>
    <cellStyle name="___PERSONAL_2" xfId="259"/>
    <cellStyle name="___PERSONAL_2_EWC 43.5MW8oMtresc 3_25_021" xfId="260"/>
    <cellStyle name="___PERSONAL_2_EWC 43.5MW8oMtresc 3_25_021_1" xfId="261"/>
    <cellStyle name="___PERSONAL_2_EWC 43.5MW8oMtresc 3_25_021_1_New England Budgets Mar 14" xfId="262"/>
    <cellStyle name="___PERSONAL_2_EWC 43.5MW8oMtresc 3_25_02v2" xfId="263"/>
    <cellStyle name="___PERSONAL_2_EWC 43.5MW8oMtresc 3_25_02v2w_esc" xfId="264"/>
    <cellStyle name="___PERSONAL_2_EWC 43.5MW8oMtresc 3_25_02v2w_esc_1" xfId="265"/>
    <cellStyle name="___PERSONAL_2_EWC 43.5MW8oMtresc 3_25_02v2w_esc_New England Budgets Mar 14" xfId="266"/>
    <cellStyle name="___PERSONAL_2_New England Budgets Mar 14" xfId="267"/>
    <cellStyle name="___PERSONAL_2_Wind farm - operation CF" xfId="268"/>
    <cellStyle name="___PERSONAL_2_Wind farm - operation CF_1" xfId="269"/>
    <cellStyle name="___PERSONAL_3" xfId="270"/>
    <cellStyle name="___PERSONAL_3_EWC 43.5MW8oMtresc 3_25_021" xfId="271"/>
    <cellStyle name="___PERSONAL_3_EWC 43.5MW8oMtresc 3_25_021_New England Budgets Mar 14" xfId="272"/>
    <cellStyle name="___PERSONAL_3_EWC 43.5MW8oMtresc 3_25_02v2" xfId="273"/>
    <cellStyle name="___PERSONAL_3_EWC 43.5MW8oMtresc 3_25_02v2_New England Budgets Mar 14" xfId="274"/>
    <cellStyle name="___PERSONAL_3_EWC 43.5MW8oMtresc 3_25_02v2w_esc" xfId="275"/>
    <cellStyle name="___PERSONAL_3_EWC 43.5MW8oMtresc 3_25_02v2w_esc_1" xfId="276"/>
    <cellStyle name="___PERSONAL_3_EWC 43.5MW8oMtresc 3_25_02v2w_esc_New England Budgets Mar 14" xfId="277"/>
    <cellStyle name="___PERSONAL_3_New England Budgets Mar 14" xfId="278"/>
    <cellStyle name="___PERSONAL_3_Wind farm - operation CF" xfId="279"/>
    <cellStyle name="___PERSONAL_4" xfId="280"/>
    <cellStyle name="___PERSONAL_4_New England Budgets Mar 14" xfId="281"/>
    <cellStyle name="___PERSONAL_EWC 43.5MW8oMtresc 3_25_021" xfId="282"/>
    <cellStyle name="___PERSONAL_EWC 43.5MW8oMtresc 3_25_02v2" xfId="283"/>
    <cellStyle name="___PERSONAL_EWC 43.5MW8oMtresc 3_25_02v2_1" xfId="284"/>
    <cellStyle name="___PERSONAL_EWC 43.5MW8oMtresc 3_25_02v2w_esc" xfId="285"/>
    <cellStyle name="___PERSONAL_EWC 43.5MW8oMtresc 3_25_02v2w_esc_1" xfId="286"/>
    <cellStyle name="___PERSONAL_Wind farm - operation CF" xfId="287"/>
    <cellStyle name="___PERSONAL_Wind farm - operation CF_1" xfId="288"/>
    <cellStyle name="___Query11" xfId="289"/>
    <cellStyle name="___Query11_New England Budgets Mar 14" xfId="290"/>
    <cellStyle name="___Sheet1" xfId="291"/>
    <cellStyle name="___Sheet1 (2)" xfId="292"/>
    <cellStyle name="___Sheet1 (2)_New England Budgets Mar 14" xfId="293"/>
    <cellStyle name="___Sheet1_New England Budgets Mar 14" xfId="294"/>
    <cellStyle name="___Sheet2" xfId="295"/>
    <cellStyle name="___Sheet2_EWC 43.5MW8oMtresc 3_25_021" xfId="296"/>
    <cellStyle name="___Sheet2_EWC 43.5MW8oMtresc 3_25_021_1" xfId="297"/>
    <cellStyle name="___Sheet2_EWC 43.5MW8oMtresc 3_25_021_1_New England Budgets Mar 14" xfId="298"/>
    <cellStyle name="___Sheet2_EWC 43.5MW8oMtresc 3_25_02v2" xfId="299"/>
    <cellStyle name="___Sheet2_EWC 43.5MW8oMtresc 3_25_02v2_1" xfId="300"/>
    <cellStyle name="___Sheet2_EWC 43.5MW8oMtresc 3_25_02v2_1_New England Budgets Mar 14" xfId="301"/>
    <cellStyle name="___Sheet2_EWC 43.5MW8oMtresc 3_25_02v2w_esc" xfId="302"/>
    <cellStyle name="___Sheet2_New England Budgets Mar 14" xfId="303"/>
    <cellStyle name="___Sheet2_Wind farm - operation CF" xfId="304"/>
    <cellStyle name="_2007 Budget 2-22-2007" xfId="305"/>
    <cellStyle name="_2008 Budgets draft 10-27 Woods" xfId="306"/>
    <cellStyle name="_AGC 2005 NAES Draft 111104-dd" xfId="307"/>
    <cellStyle name="_AnnualData" xfId="308"/>
    <cellStyle name="_AppendixH1_OfferDataFormPPA" xfId="309"/>
    <cellStyle name="_AppendixH1_OfferDataFormPPA 2" xfId="310"/>
    <cellStyle name="_AppendixH1_OfferDataFormPPA 3" xfId="311"/>
    <cellStyle name="_Asset Mngmnt 20 yr projection2-20-07" xfId="312"/>
    <cellStyle name="_Assumptions" xfId="313"/>
    <cellStyle name="_Athens Assumptions 2005" xfId="314"/>
    <cellStyle name="_Book2" xfId="315"/>
    <cellStyle name="_Book2_1" xfId="316"/>
    <cellStyle name="_Chat &amp; Brandon Jan Report" xfId="317"/>
    <cellStyle name="_compare2" xfId="318"/>
    <cellStyle name="_Compiled Alt Clint Ellen Bliss Wfield Chat Chrry Cntvl Budgets 11-6-06 match to capital budget" xfId="319"/>
    <cellStyle name="_Compiled Noble Development Budget All Projects rev 11-30-06" xfId="320"/>
    <cellStyle name="_Compiled Noble Development Budget All Projects rev 12-1-06" xfId="321"/>
    <cellStyle name="_Construction Financing" xfId="322"/>
    <cellStyle name="_Copy of Construction Budget Overview - 9 18 07" xfId="323"/>
    <cellStyle name="_Danbury" xfId="324"/>
    <cellStyle name="_Danbury - ICF" xfId="325"/>
    <cellStyle name="_Danbury - ICF_CPV Thermal - Danbury" xfId="326"/>
    <cellStyle name="_Danbury_CPV Thermal - Danbury" xfId="327"/>
    <cellStyle name="_Economics" xfId="328"/>
    <cellStyle name="_FRWF 2009 Operating Budget" xfId="329"/>
    <cellStyle name="_Inputs" xfId="330"/>
    <cellStyle name="_John Corum Copy of 2007 EG Template" xfId="331"/>
    <cellStyle name="_JPMP PAPS Clinton Model -- 27 April 2005" xfId="332"/>
    <cellStyle name="_JPMP waterfall 5-1-06_x" xfId="333"/>
    <cellStyle name="_MPP 2005 NAES Final Budget" xfId="334"/>
    <cellStyle name="_MSA Budget 2007 rev11-21-06" xfId="335"/>
    <cellStyle name="_MSA Budget 2007 rev11-6-06" xfId="336"/>
    <cellStyle name="_NA-Grid 1006v2 (2)" xfId="337"/>
    <cellStyle name="_NE Budgets" xfId="338"/>
    <cellStyle name="_Project Budget Templates Combo rev 2" xfId="339"/>
    <cellStyle name="_Project Orchid 020707" xfId="340"/>
    <cellStyle name="_Proposed Wfield Chat Chrry Cntvl Budgets history compared rev 10-31-06rev1" xfId="341"/>
    <cellStyle name="_Regional" xfId="342"/>
    <cellStyle name="_Revised PA IHR_Dinesh_Seb" xfId="343"/>
    <cellStyle name="_Revised PA IHR_Dinesh_Seb_CPV Thermal - Danbury" xfId="344"/>
    <cellStyle name="_Rigel 112106 Base Case $132m" xfId="345"/>
    <cellStyle name="_Sentinel Summary_Challenger (2)" xfId="346"/>
    <cellStyle name="_Sheet1" xfId="347"/>
    <cellStyle name="_Sheet1_AnnualData" xfId="348"/>
    <cellStyle name="_Sheet2" xfId="349"/>
    <cellStyle name="_Sherbino 20070618" xfId="350"/>
    <cellStyle name="_Sherbino 20070620" xfId="351"/>
    <cellStyle name="_Sherbino Pro Forma sd" xfId="352"/>
    <cellStyle name="_SoleOwner" xfId="353"/>
    <cellStyle name="_St Charles 8-12-08" xfId="354"/>
    <cellStyle name="_St.Charles" xfId="355"/>
    <cellStyle name="_Thumb Budget 5-30-06" xfId="356"/>
    <cellStyle name="_Vacaville_total-IDE - ICF" xfId="357"/>
    <cellStyle name="_Vacaville_total-IDE - ICF 2" xfId="358"/>
    <cellStyle name="_Vacaville_total-IDE - ICF 3" xfId="359"/>
    <cellStyle name="_Valley_Revised 9-10-08-E" xfId="360"/>
    <cellStyle name="_Valley_Revised 9-10-08-E_CPV Thermal - Danbury" xfId="361"/>
    <cellStyle name="_WF-Waterfall" xfId="362"/>
    <cellStyle name="_Yaponcha 113006" xfId="363"/>
    <cellStyle name="£ BP" xfId="364"/>
    <cellStyle name="¥ JY" xfId="365"/>
    <cellStyle name="=C:\WINNT35\SYSTEM32\COMMAND.COM" xfId="366"/>
    <cellStyle name="0" xfId="367"/>
    <cellStyle name="0 2" xfId="368"/>
    <cellStyle name="0 3" xfId="369"/>
    <cellStyle name="0_dimon" xfId="370"/>
    <cellStyle name="0_dimon 2" xfId="371"/>
    <cellStyle name="0_dimon 3" xfId="372"/>
    <cellStyle name="0_dimon_1" xfId="373"/>
    <cellStyle name="0_dimon_1 2" xfId="374"/>
    <cellStyle name="0_dimon_1 3" xfId="375"/>
    <cellStyle name="0_Price Forecast" xfId="376"/>
    <cellStyle name="0_Price Forecast 2" xfId="377"/>
    <cellStyle name="0_Price Forecast 3" xfId="378"/>
    <cellStyle name="20% - Accent1" xfId="379"/>
    <cellStyle name="20% - Accent1 2" xfId="380"/>
    <cellStyle name="20% - Accent1 2 2" xfId="381"/>
    <cellStyle name="20% - Accent1 2 3" xfId="382"/>
    <cellStyle name="20% - Accent1 3" xfId="383"/>
    <cellStyle name="20% - Accent2" xfId="384"/>
    <cellStyle name="20% - Accent2 2" xfId="385"/>
    <cellStyle name="20% - Accent2 2 2" xfId="386"/>
    <cellStyle name="20% - Accent2 2 3" xfId="387"/>
    <cellStyle name="20% - Accent2 3" xfId="388"/>
    <cellStyle name="20% - Accent3" xfId="389"/>
    <cellStyle name="20% - Accent3 2" xfId="390"/>
    <cellStyle name="20% - Accent3 2 2" xfId="391"/>
    <cellStyle name="20% - Accent3 2 3" xfId="392"/>
    <cellStyle name="20% - Accent3 3" xfId="393"/>
    <cellStyle name="20% - Accent4" xfId="394"/>
    <cellStyle name="20% - Accent4 2" xfId="395"/>
    <cellStyle name="20% - Accent4 2 2" xfId="396"/>
    <cellStyle name="20% - Accent4 2 3" xfId="397"/>
    <cellStyle name="20% - Accent4 3" xfId="398"/>
    <cellStyle name="20% - Accent5" xfId="399"/>
    <cellStyle name="20% - Accent5 2" xfId="400"/>
    <cellStyle name="20% - Accent5 2 2" xfId="401"/>
    <cellStyle name="20% - Accent5 3" xfId="402"/>
    <cellStyle name="20% - Accent6" xfId="403"/>
    <cellStyle name="20% - Accent6 2" xfId="404"/>
    <cellStyle name="20% - Accent6 2 2" xfId="405"/>
    <cellStyle name="20% - Accent6 3" xfId="406"/>
    <cellStyle name="2001 Budget" xfId="407"/>
    <cellStyle name="3" xfId="408"/>
    <cellStyle name="40% - Accent1" xfId="409"/>
    <cellStyle name="40% - Accent1 2" xfId="410"/>
    <cellStyle name="40% - Accent1 2 2" xfId="411"/>
    <cellStyle name="40% - Accent1 2 3" xfId="412"/>
    <cellStyle name="40% - Accent1 3" xfId="413"/>
    <cellStyle name="40% - Accent2" xfId="414"/>
    <cellStyle name="40% - Accent2 2" xfId="415"/>
    <cellStyle name="40% - Accent2 2 2" xfId="416"/>
    <cellStyle name="40% - Accent2 3" xfId="417"/>
    <cellStyle name="40% - Accent3" xfId="418"/>
    <cellStyle name="40% - Accent3 2" xfId="419"/>
    <cellStyle name="40% - Accent3 2 2" xfId="420"/>
    <cellStyle name="40% - Accent3 2 3" xfId="421"/>
    <cellStyle name="40% - Accent3 3" xfId="422"/>
    <cellStyle name="40% - Accent4" xfId="423"/>
    <cellStyle name="40% - Accent4 2" xfId="424"/>
    <cellStyle name="40% - Accent4 2 2" xfId="425"/>
    <cellStyle name="40% - Accent4 2 3" xfId="426"/>
    <cellStyle name="40% - Accent4 3" xfId="427"/>
    <cellStyle name="40% - Accent5" xfId="428"/>
    <cellStyle name="40% - Accent5 2" xfId="429"/>
    <cellStyle name="40% - Accent5 2 2" xfId="430"/>
    <cellStyle name="40% - Accent5 3" xfId="431"/>
    <cellStyle name="40% - Accent6" xfId="432"/>
    <cellStyle name="40% - Accent6 2" xfId="433"/>
    <cellStyle name="40% - Accent6 2 2" xfId="434"/>
    <cellStyle name="40% - Accent6 2 3" xfId="435"/>
    <cellStyle name="40% - Accent6 3" xfId="436"/>
    <cellStyle name="60% - Accent1" xfId="437"/>
    <cellStyle name="60% - Accent1 2" xfId="438"/>
    <cellStyle name="60% - Accent1 2 2" xfId="439"/>
    <cellStyle name="60% - Accent1 2 3" xfId="440"/>
    <cellStyle name="60% - Accent1 3" xfId="441"/>
    <cellStyle name="60% - Accent2" xfId="442"/>
    <cellStyle name="60% - Accent2 2" xfId="443"/>
    <cellStyle name="60% - Accent2 2 2" xfId="444"/>
    <cellStyle name="60% - Accent2 3" xfId="445"/>
    <cellStyle name="60% - Accent3" xfId="446"/>
    <cellStyle name="60% - Accent3 2" xfId="447"/>
    <cellStyle name="60% - Accent3 2 2" xfId="448"/>
    <cellStyle name="60% - Accent3 2 3" xfId="449"/>
    <cellStyle name="60% - Accent3 3" xfId="450"/>
    <cellStyle name="60% - Accent4" xfId="451"/>
    <cellStyle name="60% - Accent4 2" xfId="452"/>
    <cellStyle name="60% - Accent4 2 2" xfId="453"/>
    <cellStyle name="60% - Accent4 2 3" xfId="454"/>
    <cellStyle name="60% - Accent4 3" xfId="455"/>
    <cellStyle name="60% - Accent5" xfId="456"/>
    <cellStyle name="60% - Accent5 2" xfId="457"/>
    <cellStyle name="60% - Accent5 2 2" xfId="458"/>
    <cellStyle name="60% - Accent5 3" xfId="459"/>
    <cellStyle name="60% - Accent6" xfId="460"/>
    <cellStyle name="60% - Accent6 2" xfId="461"/>
    <cellStyle name="60% - Accent6 2 2" xfId="462"/>
    <cellStyle name="60% - Accent6 2 3" xfId="463"/>
    <cellStyle name="60% - Accent6 3" xfId="464"/>
    <cellStyle name="A3 297 x 420 mm" xfId="465"/>
    <cellStyle name="Accent1" xfId="466"/>
    <cellStyle name="Accent1 2" xfId="467"/>
    <cellStyle name="Accent1 2 2" xfId="468"/>
    <cellStyle name="Accent1 2 3" xfId="469"/>
    <cellStyle name="Accent1 3" xfId="470"/>
    <cellStyle name="Accent2" xfId="471"/>
    <cellStyle name="Accent2 2" xfId="472"/>
    <cellStyle name="Accent2 2 2" xfId="473"/>
    <cellStyle name="Accent2 3" xfId="474"/>
    <cellStyle name="Accent3" xfId="475"/>
    <cellStyle name="Accent3 2" xfId="476"/>
    <cellStyle name="Accent3 2 2" xfId="477"/>
    <cellStyle name="Accent3 3" xfId="478"/>
    <cellStyle name="Accent4" xfId="479"/>
    <cellStyle name="Accent4 2" xfId="480"/>
    <cellStyle name="Accent4 2 2" xfId="481"/>
    <cellStyle name="Accent4 2 3" xfId="482"/>
    <cellStyle name="Accent4 3" xfId="483"/>
    <cellStyle name="Accent5" xfId="484"/>
    <cellStyle name="Accent5 2" xfId="485"/>
    <cellStyle name="Accent5 2 2" xfId="486"/>
    <cellStyle name="Accent5 3" xfId="487"/>
    <cellStyle name="Accent6" xfId="488"/>
    <cellStyle name="Accent6 2" xfId="489"/>
    <cellStyle name="Accent6 2 2" xfId="490"/>
    <cellStyle name="Accent6 3" xfId="491"/>
    <cellStyle name="Accounting" xfId="492"/>
    <cellStyle name="ACCT" xfId="493"/>
    <cellStyle name="Actual Date" xfId="494"/>
    <cellStyle name="Actual Date 2" xfId="495"/>
    <cellStyle name="Actual Date 3" xfId="496"/>
    <cellStyle name="AFE" xfId="497"/>
    <cellStyle name="Assumption" xfId="498"/>
    <cellStyle name="assumption 1" xfId="499"/>
    <cellStyle name="Assumption 2" xfId="500"/>
    <cellStyle name="Assumption 3" xfId="501"/>
    <cellStyle name="Assumption Date" xfId="502"/>
    <cellStyle name="background" xfId="503"/>
    <cellStyle name="Bad" xfId="504"/>
    <cellStyle name="Bad 2" xfId="505"/>
    <cellStyle name="Bad 2 2" xfId="506"/>
    <cellStyle name="Bad 3" xfId="507"/>
    <cellStyle name="Besuchter Hyperlink" xfId="508"/>
    <cellStyle name="Blank[,]" xfId="509"/>
    <cellStyle name="Bold/Border" xfId="510"/>
    <cellStyle name="BorderHeading" xfId="511"/>
    <cellStyle name="BOTLIN" xfId="512"/>
    <cellStyle name="bottom" xfId="513"/>
    <cellStyle name="Budget" xfId="514"/>
    <cellStyle name="Bullet" xfId="515"/>
    <cellStyle name="c" xfId="516"/>
    <cellStyle name="C00A" xfId="517"/>
    <cellStyle name="C00B" xfId="518"/>
    <cellStyle name="C00L" xfId="519"/>
    <cellStyle name="C01A" xfId="520"/>
    <cellStyle name="C01B" xfId="521"/>
    <cellStyle name="C01H" xfId="522"/>
    <cellStyle name="C01L" xfId="523"/>
    <cellStyle name="C02A" xfId="524"/>
    <cellStyle name="C02B" xfId="525"/>
    <cellStyle name="C02H" xfId="526"/>
    <cellStyle name="C02L" xfId="527"/>
    <cellStyle name="C03A" xfId="528"/>
    <cellStyle name="C03B" xfId="529"/>
    <cellStyle name="C03H" xfId="530"/>
    <cellStyle name="C03L" xfId="531"/>
    <cellStyle name="C04A" xfId="532"/>
    <cellStyle name="C04B" xfId="533"/>
    <cellStyle name="C04H" xfId="534"/>
    <cellStyle name="C04L" xfId="535"/>
    <cellStyle name="C05A" xfId="536"/>
    <cellStyle name="C05B" xfId="537"/>
    <cellStyle name="C05H" xfId="538"/>
    <cellStyle name="C05L" xfId="539"/>
    <cellStyle name="C06A" xfId="540"/>
    <cellStyle name="C06B" xfId="541"/>
    <cellStyle name="C06H" xfId="542"/>
    <cellStyle name="C06L" xfId="543"/>
    <cellStyle name="C07A" xfId="544"/>
    <cellStyle name="C07B" xfId="545"/>
    <cellStyle name="C07H" xfId="546"/>
    <cellStyle name="C07L" xfId="547"/>
    <cellStyle name="Calc" xfId="548"/>
    <cellStyle name="Calc Currency (0)" xfId="549"/>
    <cellStyle name="Calc_AUD" xfId="550"/>
    <cellStyle name="Calculation" xfId="551"/>
    <cellStyle name="Calculation 2" xfId="552"/>
    <cellStyle name="Calculation 2 2" xfId="553"/>
    <cellStyle name="Calculation 2 3" xfId="554"/>
    <cellStyle name="Calculation 3" xfId="555"/>
    <cellStyle name="cd" xfId="556"/>
    <cellStyle name="CHARTArea" xfId="557"/>
    <cellStyle name="CHARTBar" xfId="558"/>
    <cellStyle name="CHARTfootnote" xfId="559"/>
    <cellStyle name="CHARTLine" xfId="560"/>
    <cellStyle name="CHARTScatter" xfId="561"/>
    <cellStyle name="CHARTStackedBar" xfId="562"/>
    <cellStyle name="Check Cell" xfId="563"/>
    <cellStyle name="Check Cell 2" xfId="564"/>
    <cellStyle name="Check Cell 2 2" xfId="565"/>
    <cellStyle name="Check Cell 3" xfId="566"/>
    <cellStyle name="Clarify" xfId="567"/>
    <cellStyle name="ClearZero&amp;Red-ve" xfId="568"/>
    <cellStyle name="col.head" xfId="569"/>
    <cellStyle name="ColC" xfId="570"/>
    <cellStyle name="ColD" xfId="571"/>
    <cellStyle name="Column.Head" xfId="572"/>
    <cellStyle name="ColumnHeader" xfId="573"/>
    <cellStyle name="Comma" xfId="574"/>
    <cellStyle name="Comma [0]" xfId="575"/>
    <cellStyle name="Comma [0] 2" xfId="576"/>
    <cellStyle name="Comma [2]" xfId="577"/>
    <cellStyle name="Comma 10" xfId="578"/>
    <cellStyle name="Comma 10 2" xfId="579"/>
    <cellStyle name="Comma 11" xfId="580"/>
    <cellStyle name="Comma 11 2" xfId="581"/>
    <cellStyle name="Comma 12" xfId="582"/>
    <cellStyle name="Comma 13" xfId="583"/>
    <cellStyle name="Comma 14" xfId="584"/>
    <cellStyle name="Comma 15" xfId="585"/>
    <cellStyle name="Comma 16" xfId="586"/>
    <cellStyle name="Comma 17" xfId="587"/>
    <cellStyle name="Comma 2" xfId="588"/>
    <cellStyle name="Comma 2 2" xfId="589"/>
    <cellStyle name="Comma 3" xfId="590"/>
    <cellStyle name="Comma 3 2" xfId="591"/>
    <cellStyle name="Comma 4" xfId="592"/>
    <cellStyle name="Comma 4 2" xfId="593"/>
    <cellStyle name="Comma 4 3" xfId="594"/>
    <cellStyle name="Comma 5" xfId="595"/>
    <cellStyle name="Comma 6" xfId="596"/>
    <cellStyle name="Comma 7" xfId="597"/>
    <cellStyle name="Comma 8" xfId="598"/>
    <cellStyle name="Comma 8 2" xfId="599"/>
    <cellStyle name="Comma 9" xfId="600"/>
    <cellStyle name="Comma0" xfId="601"/>
    <cellStyle name="CommaDU" xfId="602"/>
    <cellStyle name="CommaU" xfId="603"/>
    <cellStyle name="Comment" xfId="604"/>
    <cellStyle name="Comments" xfId="605"/>
    <cellStyle name="Commg" xfId="606"/>
    <cellStyle name="Curr" xfId="607"/>
    <cellStyle name="CurrDU" xfId="608"/>
    <cellStyle name="Currency" xfId="609"/>
    <cellStyle name="Currency [0]" xfId="610"/>
    <cellStyle name="Currency [0] U" xfId="611"/>
    <cellStyle name="Currency [1]" xfId="612"/>
    <cellStyle name="Currency [2]" xfId="613"/>
    <cellStyle name="Currency [2] U" xfId="614"/>
    <cellStyle name="Currency [2]_DBCT_Scenario 1" xfId="615"/>
    <cellStyle name="Currency 10" xfId="616"/>
    <cellStyle name="Currency 2" xfId="617"/>
    <cellStyle name="Currency 2 2" xfId="618"/>
    <cellStyle name="Currency 2 3" xfId="619"/>
    <cellStyle name="Currency 3" xfId="620"/>
    <cellStyle name="Currency 3 2" xfId="621"/>
    <cellStyle name="Currency 4" xfId="622"/>
    <cellStyle name="Currency 5" xfId="623"/>
    <cellStyle name="Currency 6" xfId="624"/>
    <cellStyle name="Currency 6 2" xfId="625"/>
    <cellStyle name="Currency 7" xfId="626"/>
    <cellStyle name="Currency 8" xfId="627"/>
    <cellStyle name="Currency 9" xfId="628"/>
    <cellStyle name="Currency0" xfId="629"/>
    <cellStyle name="CurrU" xfId="630"/>
    <cellStyle name="custom" xfId="631"/>
    <cellStyle name="CustomH" xfId="632"/>
    <cellStyle name="Dash" xfId="633"/>
    <cellStyle name="Data Box" xfId="634"/>
    <cellStyle name="Date" xfId="635"/>
    <cellStyle name="Date [1 Dec 01]" xfId="636"/>
    <cellStyle name="Date [31 Dec 2000]" xfId="637"/>
    <cellStyle name="Date [31/12/02]" xfId="638"/>
    <cellStyle name="Date [Dec 00]" xfId="639"/>
    <cellStyle name="Date U" xfId="640"/>
    <cellStyle name="Date_A. Inputs" xfId="641"/>
    <cellStyle name="DateHeading" xfId="642"/>
    <cellStyle name="DateLong" xfId="643"/>
    <cellStyle name="DateShort" xfId="644"/>
    <cellStyle name="DateTime" xfId="645"/>
    <cellStyle name="Debt" xfId="646"/>
    <cellStyle name="Decimal [0]" xfId="647"/>
    <cellStyle name="Decimal [2]" xfId="648"/>
    <cellStyle name="Decimal [2] U" xfId="649"/>
    <cellStyle name="Decimal [2]_DBCT_Scenario 1" xfId="650"/>
    <cellStyle name="Decimal [4]" xfId="651"/>
    <cellStyle name="Decimal [4] U" xfId="652"/>
    <cellStyle name="Decimal [4]_DBCT_Scenario 1" xfId="653"/>
    <cellStyle name="dohm" xfId="654"/>
    <cellStyle name="dohm1" xfId="655"/>
    <cellStyle name="dohm2" xfId="656"/>
    <cellStyle name="Ed" xfId="657"/>
    <cellStyle name="entry" xfId="658"/>
    <cellStyle name="Equity" xfId="659"/>
    <cellStyle name="Eric1" xfId="660"/>
    <cellStyle name="Eric2" xfId="661"/>
    <cellStyle name="Eric3" xfId="662"/>
    <cellStyle name="Error_Check" xfId="663"/>
    <cellStyle name="ErrorMessage" xfId="664"/>
    <cellStyle name="Euro" xfId="665"/>
    <cellStyle name="Explanatory Text" xfId="666"/>
    <cellStyle name="Explanatory Text 2" xfId="667"/>
    <cellStyle name="Explanatory Text 2 2" xfId="668"/>
    <cellStyle name="Explanatory Text 3" xfId="669"/>
    <cellStyle name="EY House" xfId="670"/>
    <cellStyle name="f" xfId="671"/>
    <cellStyle name="Factor" xfId="672"/>
    <cellStyle name="First Column" xfId="673"/>
    <cellStyle name="Fixed" xfId="674"/>
    <cellStyle name="Fixed 2" xfId="675"/>
    <cellStyle name="Fixed 3" xfId="676"/>
    <cellStyle name="Good" xfId="677"/>
    <cellStyle name="Good 2" xfId="678"/>
    <cellStyle name="Good 2 2" xfId="679"/>
    <cellStyle name="Good 3" xfId="680"/>
    <cellStyle name="Good 4" xfId="681"/>
    <cellStyle name="Grey" xfId="682"/>
    <cellStyle name="Growth Factor" xfId="683"/>
    <cellStyle name="Hash Out" xfId="684"/>
    <cellStyle name="HEADER" xfId="685"/>
    <cellStyle name="Header1" xfId="686"/>
    <cellStyle name="Header2" xfId="687"/>
    <cellStyle name="Heading" xfId="688"/>
    <cellStyle name="Heading 0" xfId="689"/>
    <cellStyle name="Heading 1" xfId="690"/>
    <cellStyle name="Heading 1 2" xfId="691"/>
    <cellStyle name="Heading 1 2 2" xfId="692"/>
    <cellStyle name="Heading 1 2 3" xfId="693"/>
    <cellStyle name="Heading 1 3" xfId="694"/>
    <cellStyle name="Heading 1A" xfId="695"/>
    <cellStyle name="Heading 2" xfId="696"/>
    <cellStyle name="Heading 2 2" xfId="697"/>
    <cellStyle name="Heading 2 2 2" xfId="698"/>
    <cellStyle name="Heading 2 2 3" xfId="699"/>
    <cellStyle name="Heading 2 3" xfId="700"/>
    <cellStyle name="Heading 3" xfId="701"/>
    <cellStyle name="Heading 3 2" xfId="702"/>
    <cellStyle name="Heading 3 2 2" xfId="703"/>
    <cellStyle name="Heading 3 2 3" xfId="704"/>
    <cellStyle name="Heading 3 3" xfId="705"/>
    <cellStyle name="Heading 4" xfId="706"/>
    <cellStyle name="Heading 4 2" xfId="707"/>
    <cellStyle name="Heading 4 2 2" xfId="708"/>
    <cellStyle name="Heading 4 2 3" xfId="709"/>
    <cellStyle name="Heading 4 3" xfId="710"/>
    <cellStyle name="Heading1" xfId="711"/>
    <cellStyle name="Heading1 2" xfId="712"/>
    <cellStyle name="Heading1 3" xfId="713"/>
    <cellStyle name="Heading2" xfId="714"/>
    <cellStyle name="Heading2 2" xfId="715"/>
    <cellStyle name="Heading2 3" xfId="716"/>
    <cellStyle name="Hidden" xfId="717"/>
    <cellStyle name="HIGHLIGHT" xfId="718"/>
    <cellStyle name="hlv14B" xfId="719"/>
    <cellStyle name="Hyperlink 2" xfId="720"/>
    <cellStyle name="Hyperlink Text" xfId="721"/>
    <cellStyle name="Initial Inputs" xfId="722"/>
    <cellStyle name="Inp-0com" xfId="723"/>
    <cellStyle name="Inp-1per" xfId="724"/>
    <cellStyle name="Inp-Date" xfId="725"/>
    <cellStyle name="Input" xfId="726"/>
    <cellStyle name="Input - Comma" xfId="727"/>
    <cellStyle name="Input - Comma [0]" xfId="728"/>
    <cellStyle name="Input - Comma_A. Equity ratios" xfId="729"/>
    <cellStyle name="Input - Date" xfId="730"/>
    <cellStyle name="Input - Percent [2]" xfId="731"/>
    <cellStyle name="Input (Date)" xfId="732"/>
    <cellStyle name="Input (StyleA)" xfId="733"/>
    <cellStyle name="Input [yellow]" xfId="734"/>
    <cellStyle name="Input 2" xfId="735"/>
    <cellStyle name="Input 2 2" xfId="736"/>
    <cellStyle name="Input 3" xfId="737"/>
    <cellStyle name="Input 4" xfId="738"/>
    <cellStyle name="Input-0com" xfId="739"/>
    <cellStyle name="Input-1dec" xfId="740"/>
    <cellStyle name="Input-1per" xfId="741"/>
    <cellStyle name="Input-2dec" xfId="742"/>
    <cellStyle name="Input-2per" xfId="743"/>
    <cellStyle name="Inputs" xfId="744"/>
    <cellStyle name="ircANALYST" xfId="745"/>
    <cellStyle name="ircCOMMENTS" xfId="746"/>
    <cellStyle name="ircCOMPANY" xfId="747"/>
    <cellStyle name="ircCOUNTRY" xfId="748"/>
    <cellStyle name="ircRATING" xfId="749"/>
    <cellStyle name="KPMG Heading 1" xfId="750"/>
    <cellStyle name="KPMG Heading 2" xfId="751"/>
    <cellStyle name="KPMG Heading 3" xfId="752"/>
    <cellStyle name="KPMG Heading 4" xfId="753"/>
    <cellStyle name="KPMG Normal" xfId="754"/>
    <cellStyle name="KPMG Normal Text" xfId="755"/>
    <cellStyle name="Label" xfId="756"/>
    <cellStyle name="Linked" xfId="757"/>
    <cellStyle name="Linked Cell" xfId="758"/>
    <cellStyle name="Linked Cell 2" xfId="759"/>
    <cellStyle name="Linked Cell 2 2" xfId="760"/>
    <cellStyle name="Linked Cell 3" xfId="761"/>
    <cellStyle name="Lookup" xfId="762"/>
    <cellStyle name="LookupInput" xfId="763"/>
    <cellStyle name="M" xfId="764"/>
    <cellStyle name="MAND&#10;CHECK.COMMAND_x000E_RENAME.COMMAND_x0008_SHOW.BAR_x000B_DELETE.MENU_x000E_DELETE.COMMAND_x000E_GET.CHA" xfId="765"/>
    <cellStyle name="Milliers_Motor vehicle market" xfId="766"/>
    <cellStyle name="Missing" xfId="767"/>
    <cellStyle name="Name" xfId="768"/>
    <cellStyle name="Needed Input" xfId="769"/>
    <cellStyle name="Negative" xfId="770"/>
    <cellStyle name="Negative[0]" xfId="771"/>
    <cellStyle name="Negative_Sheet" xfId="772"/>
    <cellStyle name="Neutral" xfId="773"/>
    <cellStyle name="Neutral 2" xfId="774"/>
    <cellStyle name="Neutral 2 2" xfId="775"/>
    <cellStyle name="Neutral 3" xfId="776"/>
    <cellStyle name="Neutral 4" xfId="777"/>
    <cellStyle name="nImplode RB" xfId="778"/>
    <cellStyle name="nImplode RC" xfId="779"/>
    <cellStyle name="nImplode RD" xfId="780"/>
    <cellStyle name="nImplode Rows" xfId="781"/>
    <cellStyle name="no dec" xfId="782"/>
    <cellStyle name="no dec 2" xfId="783"/>
    <cellStyle name="no dec 3" xfId="784"/>
    <cellStyle name="No decimals" xfId="785"/>
    <cellStyle name="No?mal" xfId="786"/>
    <cellStyle name="Norm`l_INPCMHB_1_FUEL" xfId="787"/>
    <cellStyle name="Normal - Input" xfId="788"/>
    <cellStyle name="Normal - Style1" xfId="789"/>
    <cellStyle name="Normal - Style1 2" xfId="790"/>
    <cellStyle name="Normal - Style1 3" xfId="791"/>
    <cellStyle name="Normal 10" xfId="792"/>
    <cellStyle name="Normal 10 2" xfId="793"/>
    <cellStyle name="Normal 10 3" xfId="794"/>
    <cellStyle name="Normal 11" xfId="795"/>
    <cellStyle name="Normal 12" xfId="796"/>
    <cellStyle name="Normal 13" xfId="797"/>
    <cellStyle name="Normal 13 2" xfId="798"/>
    <cellStyle name="Normal 14" xfId="799"/>
    <cellStyle name="Normal 15" xfId="800"/>
    <cellStyle name="Normal 16" xfId="801"/>
    <cellStyle name="Normal 17" xfId="802"/>
    <cellStyle name="Normal 18" xfId="803"/>
    <cellStyle name="Normal 19" xfId="804"/>
    <cellStyle name="Normal 2" xfId="805"/>
    <cellStyle name="Normal 2 13" xfId="806"/>
    <cellStyle name="Normal 2 2" xfId="807"/>
    <cellStyle name="Normal 2 2 10" xfId="808"/>
    <cellStyle name="Normal 2 2 2" xfId="809"/>
    <cellStyle name="Normal 2 2 3" xfId="810"/>
    <cellStyle name="Normal 2 2 4" xfId="811"/>
    <cellStyle name="Normal 2 2_CPV Sentinel 11092010a-Diamond_DGC Ver15(TOK報告）Feb 24 Update OLD MC" xfId="812"/>
    <cellStyle name="Normal 2 3" xfId="813"/>
    <cellStyle name="Normal 2 4" xfId="814"/>
    <cellStyle name="Normal 2 5" xfId="815"/>
    <cellStyle name="Normal 2_Stochastic UnitData_Spring 08 analysis (2)" xfId="816"/>
    <cellStyle name="Normal 20" xfId="817"/>
    <cellStyle name="Normal 21" xfId="818"/>
    <cellStyle name="Normal 22" xfId="819"/>
    <cellStyle name="Normal 23" xfId="820"/>
    <cellStyle name="Normal 24" xfId="821"/>
    <cellStyle name="Normal 25" xfId="822"/>
    <cellStyle name="Normal 26" xfId="823"/>
    <cellStyle name="Normal 3" xfId="824"/>
    <cellStyle name="Normal 3 2" xfId="825"/>
    <cellStyle name="Normal 3 2 2" xfId="826"/>
    <cellStyle name="Normal 4" xfId="827"/>
    <cellStyle name="Normal 4 2" xfId="828"/>
    <cellStyle name="Normal 4 2 2" xfId="829"/>
    <cellStyle name="Normal 4 3" xfId="830"/>
    <cellStyle name="Normal 4 3 2" xfId="831"/>
    <cellStyle name="Normal 4 3 3" xfId="832"/>
    <cellStyle name="Normal 4 4" xfId="833"/>
    <cellStyle name="Normal 4 5" xfId="834"/>
    <cellStyle name="Normal 5" xfId="835"/>
    <cellStyle name="Normal 5 2" xfId="836"/>
    <cellStyle name="Normal 5 3" xfId="837"/>
    <cellStyle name="Normal 6" xfId="838"/>
    <cellStyle name="Normal 6 2" xfId="839"/>
    <cellStyle name="Normal 6 3" xfId="840"/>
    <cellStyle name="Normal 6 4" xfId="841"/>
    <cellStyle name="Normal 6 9" xfId="842"/>
    <cellStyle name="Normal 7" xfId="843"/>
    <cellStyle name="Normal 7 2" xfId="844"/>
    <cellStyle name="Normal 7 3" xfId="845"/>
    <cellStyle name="Normal 7 3 2" xfId="846"/>
    <cellStyle name="Normal 7 4" xfId="847"/>
    <cellStyle name="Normal 7 4 2" xfId="848"/>
    <cellStyle name="Normal 8" xfId="849"/>
    <cellStyle name="Normal 9" xfId="850"/>
    <cellStyle name="Normal 9 2" xfId="851"/>
    <cellStyle name="Normal 9 2 2" xfId="852"/>
    <cellStyle name="Normal U" xfId="853"/>
    <cellStyle name="Not In Use" xfId="854"/>
    <cellStyle name="Not In Use 2" xfId="855"/>
    <cellStyle name="Note" xfId="856"/>
    <cellStyle name="Note 2" xfId="857"/>
    <cellStyle name="Note 2 2" xfId="858"/>
    <cellStyle name="Note 2 3" xfId="859"/>
    <cellStyle name="Note 3" xfId="860"/>
    <cellStyle name="NotPercent" xfId="861"/>
    <cellStyle name="Out-Date" xfId="862"/>
    <cellStyle name="Output" xfId="863"/>
    <cellStyle name="Output 2" xfId="864"/>
    <cellStyle name="Output 2 2" xfId="865"/>
    <cellStyle name="Output 2 3" xfId="866"/>
    <cellStyle name="Output 3" xfId="867"/>
    <cellStyle name="OUTPUT AMOUNTS" xfId="868"/>
    <cellStyle name="OUTPUT COLUMN HEADINGS" xfId="869"/>
    <cellStyle name="OUTPUT LINE ITEMS" xfId="870"/>
    <cellStyle name="OUTPUT REPORT HEADING" xfId="871"/>
    <cellStyle name="OUTPUT REPORT TITLE" xfId="872"/>
    <cellStyle name="Output-0com" xfId="873"/>
    <cellStyle name="Output-1com" xfId="874"/>
    <cellStyle name="Output-2per" xfId="875"/>
    <cellStyle name="Output-3dec" xfId="876"/>
    <cellStyle name="Output-3sci" xfId="877"/>
    <cellStyle name="Output-4dec" xfId="878"/>
    <cellStyle name="Outputs (Locked)" xfId="879"/>
    <cellStyle name="Page1" xfId="880"/>
    <cellStyle name="PB Table Heading" xfId="881"/>
    <cellStyle name="PB Table Highlight1" xfId="882"/>
    <cellStyle name="PB Table Highlight2" xfId="883"/>
    <cellStyle name="PB Table Highlight3" xfId="884"/>
    <cellStyle name="PB Table Standard Row" xfId="885"/>
    <cellStyle name="PB Table Subtotal Row" xfId="886"/>
    <cellStyle name="PB Table Total Row" xfId="887"/>
    <cellStyle name="Percent" xfId="888"/>
    <cellStyle name="Percent [0]" xfId="889"/>
    <cellStyle name="Percent [1]" xfId="890"/>
    <cellStyle name="Percent [2]" xfId="891"/>
    <cellStyle name="Percent [2] 2" xfId="892"/>
    <cellStyle name="Percent [2] 3" xfId="893"/>
    <cellStyle name="Percent [2] U" xfId="894"/>
    <cellStyle name="Percent [2]_2 May GWPM Model" xfId="895"/>
    <cellStyle name="Percent 10" xfId="896"/>
    <cellStyle name="Percent 11" xfId="897"/>
    <cellStyle name="Percent 12" xfId="898"/>
    <cellStyle name="Percent 13" xfId="899"/>
    <cellStyle name="Percent 2" xfId="900"/>
    <cellStyle name="Percent 2 2" xfId="901"/>
    <cellStyle name="Percent 3" xfId="902"/>
    <cellStyle name="Percent 3 2" xfId="903"/>
    <cellStyle name="Percent 3 3" xfId="904"/>
    <cellStyle name="Percent 3 4" xfId="905"/>
    <cellStyle name="Percent 3 5" xfId="906"/>
    <cellStyle name="Percent 4" xfId="907"/>
    <cellStyle name="Percent 4 2" xfId="908"/>
    <cellStyle name="Percent 5" xfId="909"/>
    <cellStyle name="Percent 5 2" xfId="910"/>
    <cellStyle name="Percent 6" xfId="911"/>
    <cellStyle name="Percent 7" xfId="912"/>
    <cellStyle name="Percent 7 2" xfId="913"/>
    <cellStyle name="Percent 8" xfId="914"/>
    <cellStyle name="Percent 9" xfId="915"/>
    <cellStyle name="Placeholder" xfId="916"/>
    <cellStyle name="price" xfId="917"/>
    <cellStyle name="PSChar" xfId="918"/>
    <cellStyle name="PSDate" xfId="919"/>
    <cellStyle name="PSDec" xfId="920"/>
    <cellStyle name="PSHeading" xfId="921"/>
    <cellStyle name="PSInt" xfId="922"/>
    <cellStyle name="PSSpacer" xfId="923"/>
    <cellStyle name="R00A" xfId="924"/>
    <cellStyle name="R00B" xfId="925"/>
    <cellStyle name="R00L" xfId="926"/>
    <cellStyle name="R01A" xfId="927"/>
    <cellStyle name="R01B" xfId="928"/>
    <cellStyle name="R01H" xfId="929"/>
    <cellStyle name="R01L" xfId="930"/>
    <cellStyle name="R02A" xfId="931"/>
    <cellStyle name="R02B" xfId="932"/>
    <cellStyle name="R02H" xfId="933"/>
    <cellStyle name="R02L" xfId="934"/>
    <cellStyle name="R03A" xfId="935"/>
    <cellStyle name="R03B" xfId="936"/>
    <cellStyle name="R03H" xfId="937"/>
    <cellStyle name="R03L" xfId="938"/>
    <cellStyle name="R04A" xfId="939"/>
    <cellStyle name="R04B" xfId="940"/>
    <cellStyle name="R04H" xfId="941"/>
    <cellStyle name="R04L" xfId="942"/>
    <cellStyle name="R05A" xfId="943"/>
    <cellStyle name="R05B" xfId="944"/>
    <cellStyle name="R05H" xfId="945"/>
    <cellStyle name="R05L" xfId="946"/>
    <cellStyle name="R06A" xfId="947"/>
    <cellStyle name="R06B" xfId="948"/>
    <cellStyle name="R06H" xfId="949"/>
    <cellStyle name="R06L" xfId="950"/>
    <cellStyle name="R07A" xfId="951"/>
    <cellStyle name="R07B" xfId="952"/>
    <cellStyle name="R07H" xfId="953"/>
    <cellStyle name="R07L" xfId="954"/>
    <cellStyle name="RangeName" xfId="955"/>
    <cellStyle name="Relative" xfId="956"/>
    <cellStyle name="Results" xfId="957"/>
    <cellStyle name="revised" xfId="958"/>
    <cellStyle name="ScaleStyle" xfId="959"/>
    <cellStyle name="ScenarioInput" xfId="960"/>
    <cellStyle name="secondary" xfId="961"/>
    <cellStyle name="Sect1" xfId="962"/>
    <cellStyle name="section" xfId="963"/>
    <cellStyle name="Sheet Title" xfId="964"/>
    <cellStyle name="Standard_Liquiditätsplan" xfId="965"/>
    <cellStyle name="StrategyDependent" xfId="966"/>
    <cellStyle name="Style 1" xfId="967"/>
    <cellStyle name="Style 1 2" xfId="968"/>
    <cellStyle name="Style 21" xfId="969"/>
    <cellStyle name="Style 22" xfId="970"/>
    <cellStyle name="Style 23" xfId="971"/>
    <cellStyle name="Style 24" xfId="972"/>
    <cellStyle name="Style 25" xfId="973"/>
    <cellStyle name="Style 26" xfId="974"/>
    <cellStyle name="Style 27" xfId="975"/>
    <cellStyle name="Style 28" xfId="976"/>
    <cellStyle name="Style 29" xfId="977"/>
    <cellStyle name="Style 30" xfId="978"/>
    <cellStyle name="Style 31" xfId="979"/>
    <cellStyle name="Style 32" xfId="980"/>
    <cellStyle name="Style 33" xfId="981"/>
    <cellStyle name="Style 34" xfId="982"/>
    <cellStyle name="Style 35" xfId="983"/>
    <cellStyle name="Style 36" xfId="984"/>
    <cellStyle name="Style 37" xfId="985"/>
    <cellStyle name="Style 38" xfId="986"/>
    <cellStyle name="Style 39" xfId="987"/>
    <cellStyle name="subhead" xfId="988"/>
    <cellStyle name="SubHeading 1" xfId="989"/>
    <cellStyle name="SubHeading 2" xfId="990"/>
    <cellStyle name="summation" xfId="991"/>
    <cellStyle name="Switch" xfId="992"/>
    <cellStyle name="t1" xfId="993"/>
    <cellStyle name="Table Heading" xfId="994"/>
    <cellStyle name="Table#" xfId="995"/>
    <cellStyle name="TableColHeadCenter" xfId="996"/>
    <cellStyle name="TableColHeadLeft" xfId="997"/>
    <cellStyle name="TableColHeadRight" xfId="998"/>
    <cellStyle name="TableData" xfId="999"/>
    <cellStyle name="TableFootnote" xfId="1000"/>
    <cellStyle name="TableRatingsData" xfId="1001"/>
    <cellStyle name="TableStraddle" xfId="1002"/>
    <cellStyle name="TableSub" xfId="1003"/>
    <cellStyle name="TableText" xfId="1004"/>
    <cellStyle name="TableText1" xfId="1005"/>
    <cellStyle name="TableText2" xfId="1006"/>
    <cellStyle name="TableTitle" xfId="1007"/>
    <cellStyle name="TableTitleSub" xfId="1008"/>
    <cellStyle name="Temp" xfId="1009"/>
    <cellStyle name="Thou" xfId="1010"/>
    <cellStyle name="Thous" xfId="1011"/>
    <cellStyle name="Thousands" xfId="1012"/>
    <cellStyle name="TimeLine" xfId="1013"/>
    <cellStyle name="Title" xfId="1014"/>
    <cellStyle name="Title 2" xfId="1015"/>
    <cellStyle name="Title 2 2" xfId="1016"/>
    <cellStyle name="Title 3" xfId="1017"/>
    <cellStyle name="TitleBars" xfId="1018"/>
    <cellStyle name="top" xfId="1019"/>
    <cellStyle name="TOT" xfId="1020"/>
    <cellStyle name="tot$" xfId="1021"/>
    <cellStyle name="Total" xfId="1022"/>
    <cellStyle name="Total 1" xfId="1023"/>
    <cellStyle name="Total 2" xfId="1024"/>
    <cellStyle name="Total 2 2" xfId="1025"/>
    <cellStyle name="Total 2 3" xfId="1026"/>
    <cellStyle name="Total 3" xfId="1027"/>
    <cellStyle name="Total 4" xfId="1028"/>
    <cellStyle name="totalNO$" xfId="1029"/>
    <cellStyle name="Tusental (0)_pldt" xfId="1030"/>
    <cellStyle name="Tusental_pldt" xfId="1031"/>
    <cellStyle name="unique" xfId="1032"/>
    <cellStyle name="Units" xfId="1033"/>
    <cellStyle name="Unprot" xfId="1034"/>
    <cellStyle name="Unprot$" xfId="1035"/>
    <cellStyle name="Unprot$ 2" xfId="1036"/>
    <cellStyle name="Unprot$ 3" xfId="1037"/>
    <cellStyle name="Unprot_CPV Thermal - Danbury" xfId="1038"/>
    <cellStyle name="Unprotect" xfId="1039"/>
    <cellStyle name="User_Defined_B" xfId="1040"/>
    <cellStyle name="Usual" xfId="1041"/>
    <cellStyle name="v" xfId="1042"/>
    <cellStyle name="Valuta (0)_pldt" xfId="1043"/>
    <cellStyle name="Valuta_pldt" xfId="1044"/>
    <cellStyle name="Warning" xfId="1045"/>
    <cellStyle name="Warning Text" xfId="1046"/>
    <cellStyle name="Warning Text 2" xfId="1047"/>
    <cellStyle name="Warning Text 2 2" xfId="1048"/>
    <cellStyle name="Warning Text 3" xfId="1049"/>
    <cellStyle name="year" xfId="1050"/>
    <cellStyle name="Yes/No" xfId="1051"/>
    <cellStyle name="Zero" xfId="1052"/>
    <cellStyle name="未定義" xfId="1053"/>
    <cellStyle name="桁区切り [0.00]_CPV Sentinel 11092010a-Diamond_DGC Ver15(TOK報告) Feb 23 Update OLD" xfId="1054"/>
    <cellStyle name="桁区切り_PRO306(QF21)Receivable(Inv)" xfId="1055"/>
    <cellStyle name="標準_Asset Accounts" xfId="1056"/>
    <cellStyle name="表旨巧・・ハイパーリンク" xfId="1057"/>
    <cellStyle name="通貨  el" xfId="1058"/>
    <cellStyle name="通貨 [0.00]_CPV_Maryland_Mar 14 Houshin Ver1 (proporsal base)" xfId="1059"/>
  </cellStyles>
  <dxfs count="2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7"/>
  <sheetViews>
    <sheetView tabSelected="1" zoomScale="70" zoomScaleNormal="70" zoomScalePageLayoutView="0" workbookViewId="0" topLeftCell="A1">
      <pane xSplit="7" ySplit="7" topLeftCell="H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21" sqref="G21"/>
    </sheetView>
  </sheetViews>
  <sheetFormatPr defaultColWidth="9.140625" defaultRowHeight="15"/>
  <cols>
    <col min="1" max="1" width="38.421875" style="602" customWidth="1"/>
    <col min="2" max="2" width="12.421875" style="602" bestFit="1" customWidth="1"/>
    <col min="3" max="3" width="20.00390625" style="602" bestFit="1" customWidth="1"/>
    <col min="4" max="4" width="2.7109375" style="545" customWidth="1"/>
    <col min="5" max="5" width="3.00390625" style="602" customWidth="1"/>
    <col min="6" max="6" width="1.57421875" style="602" customWidth="1"/>
    <col min="7" max="7" width="51.00390625" style="602" bestFit="1" customWidth="1"/>
    <col min="8" max="8" width="11.140625" style="602" bestFit="1" customWidth="1"/>
    <col min="9" max="9" width="17.7109375" style="602" bestFit="1" customWidth="1"/>
    <col min="10" max="10" width="17.28125" style="602" bestFit="1" customWidth="1"/>
    <col min="11" max="12" width="17.7109375" style="602" bestFit="1" customWidth="1"/>
    <col min="13" max="13" width="17.28125" style="602" bestFit="1" customWidth="1"/>
    <col min="14" max="14" width="16.28125" style="602" bestFit="1" customWidth="1"/>
    <col min="15" max="15" width="16.7109375" style="602" bestFit="1" customWidth="1"/>
    <col min="16" max="17" width="16.28125" style="602" bestFit="1" customWidth="1"/>
    <col min="18" max="18" width="15.7109375" style="602" bestFit="1" customWidth="1"/>
    <col min="19" max="20" width="16.7109375" style="602" bestFit="1" customWidth="1"/>
    <col min="21" max="21" width="16.28125" style="602" bestFit="1" customWidth="1"/>
    <col min="22" max="22" width="17.7109375" style="602" bestFit="1" customWidth="1"/>
    <col min="23" max="24" width="17.28125" style="602" bestFit="1" customWidth="1"/>
    <col min="25" max="26" width="17.7109375" style="602" bestFit="1" customWidth="1"/>
    <col min="27" max="27" width="16.8515625" style="602" bestFit="1" customWidth="1"/>
    <col min="28" max="29" width="16.00390625" style="602" bestFit="1" customWidth="1"/>
    <col min="30" max="30" width="16.7109375" style="602" bestFit="1" customWidth="1"/>
    <col min="31" max="32" width="16.00390625" style="602" bestFit="1" customWidth="1"/>
    <col min="33" max="33" width="16.7109375" style="602" bestFit="1" customWidth="1"/>
    <col min="34" max="34" width="16.00390625" style="602" bestFit="1" customWidth="1"/>
    <col min="35" max="35" width="15.7109375" style="602" bestFit="1" customWidth="1"/>
    <col min="36" max="36" width="16.00390625" style="602" bestFit="1" customWidth="1"/>
    <col min="37" max="37" width="16.7109375" style="602" bestFit="1" customWidth="1"/>
    <col min="38" max="38" width="16.00390625" style="602" bestFit="1" customWidth="1"/>
    <col min="39" max="40" width="1.421875" style="602" customWidth="1"/>
    <col min="41" max="41" width="9.140625" style="602" customWidth="1"/>
    <col min="42" max="42" width="8.7109375" style="602" bestFit="1" customWidth="1"/>
    <col min="43" max="43" width="14.8515625" style="602" bestFit="1" customWidth="1"/>
    <col min="44" max="16384" width="9.140625" style="602" customWidth="1"/>
  </cols>
  <sheetData>
    <row r="1" ht="23.25">
      <c r="A1" s="584" t="s">
        <v>124</v>
      </c>
    </row>
    <row r="2" ht="23.25">
      <c r="A2" s="584" t="s">
        <v>122</v>
      </c>
    </row>
    <row r="3" ht="23.25">
      <c r="A3" s="584" t="s">
        <v>123</v>
      </c>
    </row>
    <row r="4" spans="1:3" ht="21">
      <c r="A4" s="613" t="s">
        <v>125</v>
      </c>
      <c r="B4" s="614"/>
      <c r="C4" s="614"/>
    </row>
    <row r="5" spans="1:40" ht="15">
      <c r="A5" s="465"/>
      <c r="B5" s="465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</row>
    <row r="6" spans="5:40" ht="5.25" customHeight="1">
      <c r="E6" s="477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7"/>
    </row>
    <row r="7" spans="1:44" ht="15.75" thickBot="1">
      <c r="A7" s="479" t="s">
        <v>0</v>
      </c>
      <c r="B7" s="528"/>
      <c r="E7" s="477"/>
      <c r="F7" s="478"/>
      <c r="G7" s="481" t="s">
        <v>64</v>
      </c>
      <c r="H7" s="482">
        <v>42491</v>
      </c>
      <c r="I7" s="483">
        <v>42856</v>
      </c>
      <c r="J7" s="483">
        <v>43221</v>
      </c>
      <c r="K7" s="483">
        <v>43586</v>
      </c>
      <c r="L7" s="483">
        <v>43952</v>
      </c>
      <c r="M7" s="483">
        <v>44317</v>
      </c>
      <c r="N7" s="483">
        <v>44682</v>
      </c>
      <c r="O7" s="483">
        <v>45047</v>
      </c>
      <c r="P7" s="483">
        <v>45413</v>
      </c>
      <c r="Q7" s="483">
        <v>45778</v>
      </c>
      <c r="R7" s="483">
        <v>46143</v>
      </c>
      <c r="S7" s="483">
        <v>46508</v>
      </c>
      <c r="T7" s="483">
        <v>46874</v>
      </c>
      <c r="U7" s="483">
        <v>47239</v>
      </c>
      <c r="V7" s="483">
        <v>47604</v>
      </c>
      <c r="W7" s="483">
        <v>47969</v>
      </c>
      <c r="X7" s="483">
        <v>48335</v>
      </c>
      <c r="Y7" s="483">
        <v>48700</v>
      </c>
      <c r="Z7" s="483">
        <v>49065</v>
      </c>
      <c r="AA7" s="483">
        <v>49430</v>
      </c>
      <c r="AB7" s="483">
        <v>49796</v>
      </c>
      <c r="AC7" s="483">
        <v>50161</v>
      </c>
      <c r="AD7" s="483">
        <v>50526</v>
      </c>
      <c r="AE7" s="483">
        <v>50891</v>
      </c>
      <c r="AF7" s="483">
        <v>51257</v>
      </c>
      <c r="AG7" s="483">
        <v>51622</v>
      </c>
      <c r="AH7" s="483">
        <v>51987</v>
      </c>
      <c r="AI7" s="483">
        <v>52352</v>
      </c>
      <c r="AJ7" s="483">
        <v>52718</v>
      </c>
      <c r="AK7" s="483">
        <v>53083</v>
      </c>
      <c r="AL7" s="483">
        <v>53448</v>
      </c>
      <c r="AM7" s="478"/>
      <c r="AN7" s="477"/>
      <c r="AP7" s="555" t="s">
        <v>45</v>
      </c>
      <c r="AQ7" s="555" t="s">
        <v>46</v>
      </c>
      <c r="AR7" s="555" t="s">
        <v>94</v>
      </c>
    </row>
    <row r="8" spans="1:44" ht="15">
      <c r="A8" s="484" t="s">
        <v>71</v>
      </c>
      <c r="B8" s="488" t="s">
        <v>74</v>
      </c>
      <c r="C8" s="573">
        <f>5500*C9*1000</f>
        <v>550000000</v>
      </c>
      <c r="D8" s="431"/>
      <c r="E8" s="477"/>
      <c r="F8" s="478"/>
      <c r="G8" s="569" t="s">
        <v>16</v>
      </c>
      <c r="H8" s="570"/>
      <c r="I8" s="571">
        <v>1</v>
      </c>
      <c r="J8" s="571">
        <v>2</v>
      </c>
      <c r="K8" s="571">
        <v>3</v>
      </c>
      <c r="L8" s="571">
        <v>4</v>
      </c>
      <c r="M8" s="571">
        <v>5</v>
      </c>
      <c r="N8" s="571">
        <v>6</v>
      </c>
      <c r="O8" s="571">
        <v>7</v>
      </c>
      <c r="P8" s="571">
        <v>8</v>
      </c>
      <c r="Q8" s="571">
        <v>9</v>
      </c>
      <c r="R8" s="571">
        <v>10</v>
      </c>
      <c r="S8" s="571">
        <v>11</v>
      </c>
      <c r="T8" s="571">
        <v>12</v>
      </c>
      <c r="U8" s="571">
        <v>13</v>
      </c>
      <c r="V8" s="571">
        <v>14</v>
      </c>
      <c r="W8" s="571">
        <v>15</v>
      </c>
      <c r="X8" s="571">
        <v>16</v>
      </c>
      <c r="Y8" s="571">
        <v>17</v>
      </c>
      <c r="Z8" s="571">
        <v>18</v>
      </c>
      <c r="AA8" s="571">
        <v>19</v>
      </c>
      <c r="AB8" s="571">
        <v>20</v>
      </c>
      <c r="AC8" s="571">
        <v>21</v>
      </c>
      <c r="AD8" s="571">
        <v>22</v>
      </c>
      <c r="AE8" s="571">
        <v>23</v>
      </c>
      <c r="AF8" s="571">
        <v>24</v>
      </c>
      <c r="AG8" s="571">
        <v>25</v>
      </c>
      <c r="AH8" s="571">
        <v>26</v>
      </c>
      <c r="AI8" s="571">
        <v>27</v>
      </c>
      <c r="AJ8" s="571">
        <v>28</v>
      </c>
      <c r="AK8" s="571">
        <v>29</v>
      </c>
      <c r="AL8" s="572">
        <v>30</v>
      </c>
      <c r="AM8" s="478"/>
      <c r="AN8" s="477"/>
      <c r="AP8" s="555">
        <v>3</v>
      </c>
      <c r="AQ8" s="555">
        <v>1</v>
      </c>
      <c r="AR8" s="555">
        <v>5</v>
      </c>
    </row>
    <row r="9" spans="1:44" ht="15">
      <c r="A9" s="480" t="s">
        <v>63</v>
      </c>
      <c r="B9" s="488" t="s">
        <v>68</v>
      </c>
      <c r="C9" s="574">
        <v>100</v>
      </c>
      <c r="E9" s="477"/>
      <c r="F9" s="478"/>
      <c r="G9" s="560" t="s">
        <v>17</v>
      </c>
      <c r="H9" s="539"/>
      <c r="I9" s="557">
        <f>(1+$C$31)^(I8-1)</f>
        <v>1</v>
      </c>
      <c r="J9" s="557">
        <f aca="true" t="shared" si="0" ref="J9:AL9">(1+$C$31)^(J8-1)</f>
        <v>1.023</v>
      </c>
      <c r="K9" s="557">
        <f t="shared" si="0"/>
        <v>1.0465289999999998</v>
      </c>
      <c r="L9" s="557">
        <f t="shared" si="0"/>
        <v>1.0705991669999997</v>
      </c>
      <c r="M9" s="557">
        <f t="shared" si="0"/>
        <v>1.0952229478409996</v>
      </c>
      <c r="N9" s="557">
        <f t="shared" si="0"/>
        <v>1.1204130756413424</v>
      </c>
      <c r="O9" s="557">
        <f t="shared" si="0"/>
        <v>1.1461825763810933</v>
      </c>
      <c r="P9" s="557">
        <f t="shared" si="0"/>
        <v>1.1725447756378582</v>
      </c>
      <c r="Q9" s="557">
        <f t="shared" si="0"/>
        <v>1.1995133054775289</v>
      </c>
      <c r="R9" s="557">
        <f t="shared" si="0"/>
        <v>1.227102111503512</v>
      </c>
      <c r="S9" s="557">
        <f t="shared" si="0"/>
        <v>1.2553254600680925</v>
      </c>
      <c r="T9" s="557">
        <f t="shared" si="0"/>
        <v>1.2841979456496586</v>
      </c>
      <c r="U9" s="557">
        <f t="shared" si="0"/>
        <v>1.3137344983996007</v>
      </c>
      <c r="V9" s="557">
        <f t="shared" si="0"/>
        <v>1.3439503918627913</v>
      </c>
      <c r="W9" s="557">
        <f t="shared" si="0"/>
        <v>1.3748612508756355</v>
      </c>
      <c r="X9" s="557">
        <f t="shared" si="0"/>
        <v>1.4064830596457747</v>
      </c>
      <c r="Y9" s="557">
        <f t="shared" si="0"/>
        <v>1.4388321700176274</v>
      </c>
      <c r="Z9" s="557">
        <f t="shared" si="0"/>
        <v>1.4719253099280327</v>
      </c>
      <c r="AA9" s="557">
        <f t="shared" si="0"/>
        <v>1.5057795920563775</v>
      </c>
      <c r="AB9" s="557">
        <f t="shared" si="0"/>
        <v>1.5404125226736738</v>
      </c>
      <c r="AC9" s="557">
        <f t="shared" si="0"/>
        <v>1.5758420106951683</v>
      </c>
      <c r="AD9" s="557">
        <f t="shared" si="0"/>
        <v>1.6120863769411569</v>
      </c>
      <c r="AE9" s="557">
        <f t="shared" si="0"/>
        <v>1.6491643636108035</v>
      </c>
      <c r="AF9" s="557">
        <f t="shared" si="0"/>
        <v>1.6870951439738515</v>
      </c>
      <c r="AG9" s="557">
        <f t="shared" si="0"/>
        <v>1.7258983322852501</v>
      </c>
      <c r="AH9" s="557">
        <f t="shared" si="0"/>
        <v>1.7655939939278107</v>
      </c>
      <c r="AI9" s="557">
        <f t="shared" si="0"/>
        <v>1.80620265578815</v>
      </c>
      <c r="AJ9" s="557">
        <f t="shared" si="0"/>
        <v>1.8477453168712774</v>
      </c>
      <c r="AK9" s="557">
        <f t="shared" si="0"/>
        <v>1.8902434591593167</v>
      </c>
      <c r="AL9" s="464">
        <f t="shared" si="0"/>
        <v>1.9337190587199808</v>
      </c>
      <c r="AM9" s="478"/>
      <c r="AN9" s="477"/>
      <c r="AP9" s="555">
        <v>5</v>
      </c>
      <c r="AQ9" s="555">
        <v>2</v>
      </c>
      <c r="AR9" s="555">
        <v>7</v>
      </c>
    </row>
    <row r="10" spans="1:43" ht="15.75" thickBot="1">
      <c r="A10" s="484" t="s">
        <v>66</v>
      </c>
      <c r="B10" s="488" t="s">
        <v>65</v>
      </c>
      <c r="C10" s="485">
        <v>0.4</v>
      </c>
      <c r="D10" s="542"/>
      <c r="E10" s="477"/>
      <c r="F10" s="478"/>
      <c r="G10" s="458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71"/>
      <c r="AM10" s="478"/>
      <c r="AN10" s="477"/>
      <c r="AP10" s="555">
        <v>7</v>
      </c>
      <c r="AQ10" s="555">
        <v>3</v>
      </c>
    </row>
    <row r="11" spans="1:43" ht="15.75" thickBot="1">
      <c r="A11" s="484" t="s">
        <v>67</v>
      </c>
      <c r="B11" s="488" t="s">
        <v>65</v>
      </c>
      <c r="C11" s="485">
        <v>0.4</v>
      </c>
      <c r="D11" s="542"/>
      <c r="E11" s="477"/>
      <c r="F11" s="478"/>
      <c r="G11" s="497" t="s">
        <v>18</v>
      </c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3"/>
      <c r="AM11" s="478"/>
      <c r="AN11" s="477"/>
      <c r="AP11" s="555">
        <v>10</v>
      </c>
      <c r="AQ11" s="555">
        <v>4</v>
      </c>
    </row>
    <row r="12" spans="1:43" ht="15">
      <c r="A12" s="505" t="s">
        <v>3</v>
      </c>
      <c r="B12" s="518"/>
      <c r="C12" s="493"/>
      <c r="D12" s="542"/>
      <c r="E12" s="477"/>
      <c r="F12" s="478"/>
      <c r="G12" s="551" t="s">
        <v>3</v>
      </c>
      <c r="H12" s="451"/>
      <c r="I12" s="438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71"/>
      <c r="AM12" s="478"/>
      <c r="AN12" s="477"/>
      <c r="AP12" s="555">
        <v>15</v>
      </c>
      <c r="AQ12" s="555">
        <v>5</v>
      </c>
    </row>
    <row r="13" spans="1:43" ht="15">
      <c r="A13" s="484" t="s">
        <v>69</v>
      </c>
      <c r="B13" s="519" t="s">
        <v>80</v>
      </c>
      <c r="C13" s="486">
        <v>50</v>
      </c>
      <c r="D13" s="542"/>
      <c r="E13" s="477"/>
      <c r="F13" s="478"/>
      <c r="G13" s="560" t="s">
        <v>19</v>
      </c>
      <c r="H13" s="539"/>
      <c r="I13" s="546">
        <f aca="true" t="shared" si="1" ref="I13:AL13">IF(I8&gt;$C$34,0,($C$18+$C$9*$C$10*$AQ$41*IF($C$23&lt;&gt;0,MAX((($C$23+1-I8)/$C$23),0),0)*12*1000)*$C$9*$C$10*I9*(1+0.0025)^(I8-1))</f>
        <v>4912332.8</v>
      </c>
      <c r="J13" s="546">
        <f t="shared" si="1"/>
        <v>5089827.7608288</v>
      </c>
      <c r="K13" s="546">
        <f t="shared" si="1"/>
        <v>5273186.710519825</v>
      </c>
      <c r="L13" s="546">
        <f t="shared" si="1"/>
        <v>5462593.449674678</v>
      </c>
      <c r="M13" s="546">
        <f t="shared" si="1"/>
        <v>5658237.343588415</v>
      </c>
      <c r="N13" s="546">
        <f t="shared" si="1"/>
        <v>5860313.486632911</v>
      </c>
      <c r="O13" s="546">
        <f t="shared" si="1"/>
        <v>6010088.44856753</v>
      </c>
      <c r="P13" s="546">
        <f t="shared" si="1"/>
        <v>6163691.284091793</v>
      </c>
      <c r="Q13" s="546">
        <f t="shared" si="1"/>
        <v>6321219.824084968</v>
      </c>
      <c r="R13" s="546">
        <f t="shared" si="1"/>
        <v>6482774.39973902</v>
      </c>
      <c r="S13" s="546">
        <f t="shared" si="1"/>
        <v>6648457.9064603485</v>
      </c>
      <c r="T13" s="546">
        <f t="shared" si="1"/>
        <v>6818375.869404707</v>
      </c>
      <c r="U13" s="546">
        <f t="shared" si="1"/>
        <v>6992636.510687018</v>
      </c>
      <c r="V13" s="546">
        <f t="shared" si="1"/>
        <v>7171350.818308901</v>
      </c>
      <c r="W13" s="546">
        <f t="shared" si="1"/>
        <v>7354632.616847828</v>
      </c>
      <c r="X13" s="546">
        <f t="shared" si="1"/>
        <v>7542598.639952915</v>
      </c>
      <c r="Y13" s="546">
        <f t="shared" si="1"/>
        <v>7735368.6046935115</v>
      </c>
      <c r="Z13" s="546">
        <f t="shared" si="1"/>
        <v>7933065.287807964</v>
      </c>
      <c r="AA13" s="546">
        <f t="shared" si="1"/>
        <v>8135814.603901117</v>
      </c>
      <c r="AB13" s="546">
        <f t="shared" si="1"/>
        <v>8343745.685640316</v>
      </c>
      <c r="AC13" s="546">
        <f t="shared" si="1"/>
        <v>8556990.96600107</v>
      </c>
      <c r="AD13" s="546">
        <f t="shared" si="1"/>
        <v>8775686.26261464</v>
      </c>
      <c r="AE13" s="546">
        <f t="shared" si="1"/>
        <v>8999970.864271412</v>
      </c>
      <c r="AF13" s="546">
        <f t="shared" si="1"/>
        <v>9229987.619635027</v>
      </c>
      <c r="AG13" s="546">
        <f t="shared" si="1"/>
        <v>9465883.028223846</v>
      </c>
      <c r="AH13" s="546">
        <f t="shared" si="1"/>
        <v>0</v>
      </c>
      <c r="AI13" s="546">
        <f t="shared" si="1"/>
        <v>0</v>
      </c>
      <c r="AJ13" s="546">
        <f t="shared" si="1"/>
        <v>0</v>
      </c>
      <c r="AK13" s="546">
        <f t="shared" si="1"/>
        <v>0</v>
      </c>
      <c r="AL13" s="525">
        <f t="shared" si="1"/>
        <v>0</v>
      </c>
      <c r="AM13" s="478"/>
      <c r="AN13" s="477"/>
      <c r="AP13" s="555">
        <v>20</v>
      </c>
      <c r="AQ13" s="555">
        <v>6</v>
      </c>
    </row>
    <row r="14" spans="1:43" ht="15">
      <c r="A14" s="484" t="s">
        <v>100</v>
      </c>
      <c r="B14" s="579" t="s">
        <v>80</v>
      </c>
      <c r="C14" s="486">
        <v>23</v>
      </c>
      <c r="D14" s="542"/>
      <c r="E14" s="477"/>
      <c r="F14" s="478"/>
      <c r="G14" s="561" t="s">
        <v>2</v>
      </c>
      <c r="H14" s="538"/>
      <c r="I14" s="544">
        <f aca="true" t="shared" si="2" ref="I14:AL14">MAX(0,IF(I$8&gt;$C$34,0,IF($C$24=0,$C$16,IF($C$24=1,$C$16*I9,$C$16*(I9^$C$24)))))</f>
        <v>17520000</v>
      </c>
      <c r="J14" s="544">
        <f t="shared" si="2"/>
        <v>17922960</v>
      </c>
      <c r="K14" s="544">
        <f t="shared" si="2"/>
        <v>18335188.08</v>
      </c>
      <c r="L14" s="544">
        <f t="shared" si="2"/>
        <v>18756897.405839995</v>
      </c>
      <c r="M14" s="544">
        <f t="shared" si="2"/>
        <v>19188306.046174314</v>
      </c>
      <c r="N14" s="544">
        <f t="shared" si="2"/>
        <v>19629637.08523632</v>
      </c>
      <c r="O14" s="544">
        <f t="shared" si="2"/>
        <v>20081118.738196757</v>
      </c>
      <c r="P14" s="544">
        <f t="shared" si="2"/>
        <v>20542984.469175275</v>
      </c>
      <c r="Q14" s="544">
        <f t="shared" si="2"/>
        <v>21015473.111966304</v>
      </c>
      <c r="R14" s="544">
        <f t="shared" si="2"/>
        <v>21498828.993541528</v>
      </c>
      <c r="S14" s="544">
        <f t="shared" si="2"/>
        <v>21993302.06039298</v>
      </c>
      <c r="T14" s="544">
        <f t="shared" si="2"/>
        <v>22499148.00778202</v>
      </c>
      <c r="U14" s="544">
        <f t="shared" si="2"/>
        <v>23016628.411961004</v>
      </c>
      <c r="V14" s="544">
        <f t="shared" si="2"/>
        <v>23546010.865436103</v>
      </c>
      <c r="W14" s="544">
        <f t="shared" si="2"/>
        <v>24087569.115341134</v>
      </c>
      <c r="X14" s="544">
        <f t="shared" si="2"/>
        <v>24641583.204993974</v>
      </c>
      <c r="Y14" s="544">
        <f t="shared" si="2"/>
        <v>25208339.618708834</v>
      </c>
      <c r="Z14" s="544">
        <f t="shared" si="2"/>
        <v>25788131.429939132</v>
      </c>
      <c r="AA14" s="544">
        <f t="shared" si="2"/>
        <v>26381258.452827733</v>
      </c>
      <c r="AB14" s="544">
        <f t="shared" si="2"/>
        <v>26988027.397242766</v>
      </c>
      <c r="AC14" s="544">
        <f t="shared" si="2"/>
        <v>27608752.02737935</v>
      </c>
      <c r="AD14" s="544">
        <f t="shared" si="2"/>
        <v>28243753.32400907</v>
      </c>
      <c r="AE14" s="544">
        <f t="shared" si="2"/>
        <v>28893359.65046128</v>
      </c>
      <c r="AF14" s="544">
        <f t="shared" si="2"/>
        <v>29557906.92242188</v>
      </c>
      <c r="AG14" s="544">
        <f t="shared" si="2"/>
        <v>30237738.781637583</v>
      </c>
      <c r="AH14" s="544">
        <f t="shared" si="2"/>
        <v>0</v>
      </c>
      <c r="AI14" s="544">
        <f t="shared" si="2"/>
        <v>0</v>
      </c>
      <c r="AJ14" s="544">
        <f t="shared" si="2"/>
        <v>0</v>
      </c>
      <c r="AK14" s="544">
        <f t="shared" si="2"/>
        <v>0</v>
      </c>
      <c r="AL14" s="475">
        <f t="shared" si="2"/>
        <v>0</v>
      </c>
      <c r="AM14" s="478"/>
      <c r="AN14" s="477"/>
      <c r="AP14" s="555"/>
      <c r="AQ14" s="555">
        <v>7</v>
      </c>
    </row>
    <row r="15" spans="1:43" ht="15">
      <c r="A15" s="484" t="s">
        <v>137</v>
      </c>
      <c r="B15" s="579" t="s">
        <v>80</v>
      </c>
      <c r="C15" s="486">
        <v>25</v>
      </c>
      <c r="D15" s="542"/>
      <c r="E15" s="477"/>
      <c r="F15" s="478"/>
      <c r="G15" s="561" t="s">
        <v>135</v>
      </c>
      <c r="H15" s="538"/>
      <c r="I15" s="544">
        <f aca="true" t="shared" si="3" ref="I15:AL15">MAX(0,IF(I$8&gt;$C$34,0,IF($C$24=0,$C$17,IF($C$24=1,$C$17*I9,$C$17*(I9^$C$24)))))</f>
        <v>8760000</v>
      </c>
      <c r="J15" s="544">
        <f t="shared" si="3"/>
        <v>8961480</v>
      </c>
      <c r="K15" s="544">
        <f t="shared" si="3"/>
        <v>9167594.04</v>
      </c>
      <c r="L15" s="544">
        <f t="shared" si="3"/>
        <v>9378448.702919997</v>
      </c>
      <c r="M15" s="544">
        <f t="shared" si="3"/>
        <v>9594153.023087157</v>
      </c>
      <c r="N15" s="544">
        <f t="shared" si="3"/>
        <v>9814818.54261816</v>
      </c>
      <c r="O15" s="544">
        <f t="shared" si="3"/>
        <v>10040559.369098378</v>
      </c>
      <c r="P15" s="544">
        <f t="shared" si="3"/>
        <v>10271492.234587638</v>
      </c>
      <c r="Q15" s="544">
        <f t="shared" si="3"/>
        <v>10507736.555983152</v>
      </c>
      <c r="R15" s="544">
        <f t="shared" si="3"/>
        <v>10749414.496770764</v>
      </c>
      <c r="S15" s="544">
        <f t="shared" si="3"/>
        <v>10996651.03019649</v>
      </c>
      <c r="T15" s="544">
        <f t="shared" si="3"/>
        <v>11249574.00389101</v>
      </c>
      <c r="U15" s="544">
        <f t="shared" si="3"/>
        <v>11508314.205980502</v>
      </c>
      <c r="V15" s="544">
        <f t="shared" si="3"/>
        <v>11773005.432718052</v>
      </c>
      <c r="W15" s="544">
        <f t="shared" si="3"/>
        <v>12043784.557670567</v>
      </c>
      <c r="X15" s="544">
        <f t="shared" si="3"/>
        <v>12320791.602496987</v>
      </c>
      <c r="Y15" s="544">
        <f t="shared" si="3"/>
        <v>12604169.809354417</v>
      </c>
      <c r="Z15" s="544">
        <f t="shared" si="3"/>
        <v>12894065.714969566</v>
      </c>
      <c r="AA15" s="544">
        <f t="shared" si="3"/>
        <v>13190629.226413867</v>
      </c>
      <c r="AB15" s="544">
        <f t="shared" si="3"/>
        <v>13494013.698621383</v>
      </c>
      <c r="AC15" s="544">
        <f t="shared" si="3"/>
        <v>13804376.013689674</v>
      </c>
      <c r="AD15" s="544">
        <f t="shared" si="3"/>
        <v>14121876.662004534</v>
      </c>
      <c r="AE15" s="544">
        <f t="shared" si="3"/>
        <v>14446679.82523064</v>
      </c>
      <c r="AF15" s="544">
        <f t="shared" si="3"/>
        <v>14778953.46121094</v>
      </c>
      <c r="AG15" s="544">
        <f t="shared" si="3"/>
        <v>15118869.390818791</v>
      </c>
      <c r="AH15" s="544">
        <f t="shared" si="3"/>
        <v>0</v>
      </c>
      <c r="AI15" s="544">
        <f t="shared" si="3"/>
        <v>0</v>
      </c>
      <c r="AJ15" s="544">
        <f t="shared" si="3"/>
        <v>0</v>
      </c>
      <c r="AK15" s="544">
        <f t="shared" si="3"/>
        <v>0</v>
      </c>
      <c r="AL15" s="475">
        <f t="shared" si="3"/>
        <v>0</v>
      </c>
      <c r="AM15" s="478"/>
      <c r="AN15" s="477"/>
      <c r="AP15" s="555"/>
      <c r="AQ15" s="555">
        <v>8</v>
      </c>
    </row>
    <row r="16" spans="1:43" ht="15.75" thickBot="1">
      <c r="A16" s="480" t="s">
        <v>70</v>
      </c>
      <c r="B16" s="430" t="s">
        <v>89</v>
      </c>
      <c r="C16" s="466">
        <f>C13*C11*C9*8760</f>
        <v>17520000</v>
      </c>
      <c r="D16" s="542"/>
      <c r="E16" s="477"/>
      <c r="F16" s="478"/>
      <c r="G16" s="453" t="s">
        <v>20</v>
      </c>
      <c r="H16" s="537"/>
      <c r="I16" s="443">
        <f>SUM(I13:I15)</f>
        <v>31192332.8</v>
      </c>
      <c r="J16" s="443">
        <f aca="true" t="shared" si="4" ref="J16:AL16">SUM(J13:J15)</f>
        <v>31974267.7608288</v>
      </c>
      <c r="K16" s="443">
        <f t="shared" si="4"/>
        <v>32775968.83051982</v>
      </c>
      <c r="L16" s="443">
        <f t="shared" si="4"/>
        <v>33597939.558434665</v>
      </c>
      <c r="M16" s="443">
        <f t="shared" si="4"/>
        <v>34440696.41284989</v>
      </c>
      <c r="N16" s="443">
        <f t="shared" si="4"/>
        <v>35304769.11448739</v>
      </c>
      <c r="O16" s="443">
        <f t="shared" si="4"/>
        <v>36131766.555862665</v>
      </c>
      <c r="P16" s="443">
        <f t="shared" si="4"/>
        <v>36978167.987854704</v>
      </c>
      <c r="Q16" s="443">
        <f t="shared" si="4"/>
        <v>37844429.49203442</v>
      </c>
      <c r="R16" s="443">
        <f t="shared" si="4"/>
        <v>38731017.89005131</v>
      </c>
      <c r="S16" s="443">
        <f t="shared" si="4"/>
        <v>39638410.997049816</v>
      </c>
      <c r="T16" s="443">
        <f t="shared" si="4"/>
        <v>40567097.88107774</v>
      </c>
      <c r="U16" s="443">
        <f t="shared" si="4"/>
        <v>41517579.12862852</v>
      </c>
      <c r="V16" s="443">
        <f t="shared" si="4"/>
        <v>42490367.11646306</v>
      </c>
      <c r="W16" s="443">
        <f t="shared" si="4"/>
        <v>43485986.28985953</v>
      </c>
      <c r="X16" s="443">
        <f t="shared" si="4"/>
        <v>44504973.44744388</v>
      </c>
      <c r="Y16" s="443">
        <f t="shared" si="4"/>
        <v>45547878.03275676</v>
      </c>
      <c r="Z16" s="443">
        <f t="shared" si="4"/>
        <v>46615262.43271666</v>
      </c>
      <c r="AA16" s="443">
        <f t="shared" si="4"/>
        <v>47707702.283142716</v>
      </c>
      <c r="AB16" s="443">
        <f t="shared" si="4"/>
        <v>48825786.78150447</v>
      </c>
      <c r="AC16" s="443">
        <f t="shared" si="4"/>
        <v>49970119.007070094</v>
      </c>
      <c r="AD16" s="443">
        <f t="shared" si="4"/>
        <v>51141316.248628244</v>
      </c>
      <c r="AE16" s="443">
        <f t="shared" si="4"/>
        <v>52340010.33996333</v>
      </c>
      <c r="AF16" s="443">
        <f t="shared" si="4"/>
        <v>53566848.00326784</v>
      </c>
      <c r="AG16" s="443">
        <f t="shared" si="4"/>
        <v>54822491.20068022</v>
      </c>
      <c r="AH16" s="443">
        <f t="shared" si="4"/>
        <v>0</v>
      </c>
      <c r="AI16" s="443">
        <f t="shared" si="4"/>
        <v>0</v>
      </c>
      <c r="AJ16" s="443">
        <f t="shared" si="4"/>
        <v>0</v>
      </c>
      <c r="AK16" s="443">
        <f t="shared" si="4"/>
        <v>0</v>
      </c>
      <c r="AL16" s="513">
        <f t="shared" si="4"/>
        <v>0</v>
      </c>
      <c r="AM16" s="478"/>
      <c r="AN16" s="477"/>
      <c r="AP16" s="555"/>
      <c r="AQ16" s="555">
        <v>9</v>
      </c>
    </row>
    <row r="17" spans="1:43" ht="15.75" thickTop="1">
      <c r="A17" s="484" t="s">
        <v>135</v>
      </c>
      <c r="B17" s="430" t="s">
        <v>89</v>
      </c>
      <c r="C17" s="466">
        <f>C15*C11*C9*8760</f>
        <v>8760000</v>
      </c>
      <c r="D17" s="432"/>
      <c r="E17" s="477"/>
      <c r="F17" s="478"/>
      <c r="G17" s="454" t="s">
        <v>4</v>
      </c>
      <c r="H17" s="449"/>
      <c r="I17" s="543"/>
      <c r="J17" s="428"/>
      <c r="K17" s="428"/>
      <c r="L17" s="428"/>
      <c r="M17" s="428"/>
      <c r="N17" s="428"/>
      <c r="O17" s="428"/>
      <c r="P17" s="428"/>
      <c r="Q17" s="428"/>
      <c r="R17" s="428"/>
      <c r="S17" s="491"/>
      <c r="T17" s="506"/>
      <c r="U17" s="491"/>
      <c r="V17" s="491"/>
      <c r="W17" s="491"/>
      <c r="X17" s="491"/>
      <c r="Y17" s="491"/>
      <c r="Z17" s="428"/>
      <c r="AA17" s="428"/>
      <c r="AB17" s="428"/>
      <c r="AC17" s="428"/>
      <c r="AD17" s="428"/>
      <c r="AE17" s="428"/>
      <c r="AF17" s="428"/>
      <c r="AG17" s="428"/>
      <c r="AH17" s="428"/>
      <c r="AI17" s="491"/>
      <c r="AJ17" s="506"/>
      <c r="AK17" s="491"/>
      <c r="AL17" s="469"/>
      <c r="AM17" s="478"/>
      <c r="AN17" s="477"/>
      <c r="AP17" s="555"/>
      <c r="AQ17" s="555">
        <v>10</v>
      </c>
    </row>
    <row r="18" spans="1:43" ht="15">
      <c r="A18" s="484" t="s">
        <v>47</v>
      </c>
      <c r="B18" s="430" t="s">
        <v>87</v>
      </c>
      <c r="C18" s="516">
        <f>'ICAP Price&amp;Impact'!O47</f>
        <v>129139.99999999999</v>
      </c>
      <c r="E18" s="477"/>
      <c r="F18" s="478"/>
      <c r="G18" s="560" t="s">
        <v>5</v>
      </c>
      <c r="H18" s="539"/>
      <c r="I18" s="546">
        <f>IF(I8&gt;$C$34,0,-$C$38)</f>
        <v>-11000000</v>
      </c>
      <c r="J18" s="533">
        <f aca="true" t="shared" si="5" ref="J18:AL18">IF(J8&gt;$C$34,0,$I$18*J9)</f>
        <v>-11252999.999999998</v>
      </c>
      <c r="K18" s="533">
        <f t="shared" si="5"/>
        <v>-11511818.999999998</v>
      </c>
      <c r="L18" s="533">
        <f t="shared" si="5"/>
        <v>-11776590.836999996</v>
      </c>
      <c r="M18" s="533">
        <f t="shared" si="5"/>
        <v>-12047452.426250996</v>
      </c>
      <c r="N18" s="533">
        <f t="shared" si="5"/>
        <v>-12324543.832054766</v>
      </c>
      <c r="O18" s="533">
        <f t="shared" si="5"/>
        <v>-12608008.340192027</v>
      </c>
      <c r="P18" s="533">
        <f t="shared" si="5"/>
        <v>-12897992.53201644</v>
      </c>
      <c r="Q18" s="533">
        <f t="shared" si="5"/>
        <v>-13194646.360252818</v>
      </c>
      <c r="R18" s="533">
        <f t="shared" si="5"/>
        <v>-13498123.22653863</v>
      </c>
      <c r="S18" s="507">
        <f t="shared" si="5"/>
        <v>-13808580.060749019</v>
      </c>
      <c r="T18" s="507">
        <f t="shared" si="5"/>
        <v>-14126177.402146244</v>
      </c>
      <c r="U18" s="507">
        <f t="shared" si="5"/>
        <v>-14451079.482395608</v>
      </c>
      <c r="V18" s="507">
        <f t="shared" si="5"/>
        <v>-14783454.310490705</v>
      </c>
      <c r="W18" s="507">
        <f t="shared" si="5"/>
        <v>-15123473.75963199</v>
      </c>
      <c r="X18" s="507">
        <f t="shared" si="5"/>
        <v>-15471313.656103522</v>
      </c>
      <c r="Y18" s="507">
        <f t="shared" si="5"/>
        <v>-15827153.870193902</v>
      </c>
      <c r="Z18" s="507">
        <f t="shared" si="5"/>
        <v>-16191178.40920836</v>
      </c>
      <c r="AA18" s="507">
        <f t="shared" si="5"/>
        <v>-16563575.512620153</v>
      </c>
      <c r="AB18" s="507">
        <f t="shared" si="5"/>
        <v>-16944537.749410413</v>
      </c>
      <c r="AC18" s="507">
        <f t="shared" si="5"/>
        <v>-17334262.11764685</v>
      </c>
      <c r="AD18" s="507">
        <f t="shared" si="5"/>
        <v>-17732950.146352727</v>
      </c>
      <c r="AE18" s="507">
        <f t="shared" si="5"/>
        <v>-18140807.999718837</v>
      </c>
      <c r="AF18" s="507">
        <f t="shared" si="5"/>
        <v>-18558046.583712365</v>
      </c>
      <c r="AG18" s="507">
        <f t="shared" si="5"/>
        <v>-18984881.65513775</v>
      </c>
      <c r="AH18" s="507">
        <f t="shared" si="5"/>
        <v>0</v>
      </c>
      <c r="AI18" s="507">
        <f t="shared" si="5"/>
        <v>0</v>
      </c>
      <c r="AJ18" s="507">
        <f t="shared" si="5"/>
        <v>0</v>
      </c>
      <c r="AK18" s="507">
        <f t="shared" si="5"/>
        <v>0</v>
      </c>
      <c r="AL18" s="468">
        <f t="shared" si="5"/>
        <v>0</v>
      </c>
      <c r="AM18" s="478"/>
      <c r="AN18" s="477"/>
      <c r="AQ18" s="555">
        <v>11</v>
      </c>
    </row>
    <row r="19" spans="1:43" ht="15">
      <c r="A19" s="484" t="s">
        <v>101</v>
      </c>
      <c r="B19" s="540" t="s">
        <v>65</v>
      </c>
      <c r="C19" s="467">
        <v>1</v>
      </c>
      <c r="D19" s="432"/>
      <c r="E19" s="477"/>
      <c r="F19" s="478"/>
      <c r="G19" s="560" t="s">
        <v>6</v>
      </c>
      <c r="H19" s="539"/>
      <c r="I19" s="544">
        <f>IF(I8&gt;$C$34,0,-$C$39)</f>
        <v>0</v>
      </c>
      <c r="J19" s="450">
        <f aca="true" t="shared" si="6" ref="J19:AL19">IF(J8&gt;$C$34,0,$I$19*J9)</f>
        <v>0</v>
      </c>
      <c r="K19" s="450">
        <f t="shared" si="6"/>
        <v>0</v>
      </c>
      <c r="L19" s="450">
        <f t="shared" si="6"/>
        <v>0</v>
      </c>
      <c r="M19" s="450">
        <f t="shared" si="6"/>
        <v>0</v>
      </c>
      <c r="N19" s="450">
        <f t="shared" si="6"/>
        <v>0</v>
      </c>
      <c r="O19" s="450">
        <f t="shared" si="6"/>
        <v>0</v>
      </c>
      <c r="P19" s="450">
        <f t="shared" si="6"/>
        <v>0</v>
      </c>
      <c r="Q19" s="450">
        <f t="shared" si="6"/>
        <v>0</v>
      </c>
      <c r="R19" s="450">
        <f t="shared" si="6"/>
        <v>0</v>
      </c>
      <c r="S19" s="517">
        <f t="shared" si="6"/>
        <v>0</v>
      </c>
      <c r="T19" s="517">
        <f t="shared" si="6"/>
        <v>0</v>
      </c>
      <c r="U19" s="517">
        <f t="shared" si="6"/>
        <v>0</v>
      </c>
      <c r="V19" s="517">
        <f t="shared" si="6"/>
        <v>0</v>
      </c>
      <c r="W19" s="517">
        <f t="shared" si="6"/>
        <v>0</v>
      </c>
      <c r="X19" s="517">
        <f t="shared" si="6"/>
        <v>0</v>
      </c>
      <c r="Y19" s="517">
        <f t="shared" si="6"/>
        <v>0</v>
      </c>
      <c r="Z19" s="517">
        <f t="shared" si="6"/>
        <v>0</v>
      </c>
      <c r="AA19" s="517">
        <f t="shared" si="6"/>
        <v>0</v>
      </c>
      <c r="AB19" s="517">
        <f t="shared" si="6"/>
        <v>0</v>
      </c>
      <c r="AC19" s="517">
        <f t="shared" si="6"/>
        <v>0</v>
      </c>
      <c r="AD19" s="517">
        <f t="shared" si="6"/>
        <v>0</v>
      </c>
      <c r="AE19" s="517">
        <f t="shared" si="6"/>
        <v>0</v>
      </c>
      <c r="AF19" s="517">
        <f t="shared" si="6"/>
        <v>0</v>
      </c>
      <c r="AG19" s="517">
        <f t="shared" si="6"/>
        <v>0</v>
      </c>
      <c r="AH19" s="517">
        <f t="shared" si="6"/>
        <v>0</v>
      </c>
      <c r="AI19" s="517">
        <f t="shared" si="6"/>
        <v>0</v>
      </c>
      <c r="AJ19" s="517">
        <f t="shared" si="6"/>
        <v>0</v>
      </c>
      <c r="AK19" s="517">
        <f t="shared" si="6"/>
        <v>0</v>
      </c>
      <c r="AL19" s="468">
        <f t="shared" si="6"/>
        <v>0</v>
      </c>
      <c r="AM19" s="478"/>
      <c r="AN19" s="477"/>
      <c r="AQ19" s="555">
        <v>12</v>
      </c>
    </row>
    <row r="20" spans="1:43" ht="15">
      <c r="A20" s="484" t="s">
        <v>102</v>
      </c>
      <c r="B20" s="540" t="s">
        <v>65</v>
      </c>
      <c r="C20" s="467">
        <v>1</v>
      </c>
      <c r="D20" s="432"/>
      <c r="E20" s="477"/>
      <c r="F20" s="478"/>
      <c r="G20" s="560" t="s">
        <v>7</v>
      </c>
      <c r="H20" s="539"/>
      <c r="I20" s="544">
        <f aca="true" t="shared" si="7" ref="I20:AL20">IF(I8&gt;$C$34,0,-$C$40)</f>
        <v>0</v>
      </c>
      <c r="J20" s="544">
        <f t="shared" si="7"/>
        <v>0</v>
      </c>
      <c r="K20" s="544">
        <f t="shared" si="7"/>
        <v>0</v>
      </c>
      <c r="L20" s="544">
        <f t="shared" si="7"/>
        <v>0</v>
      </c>
      <c r="M20" s="544">
        <f t="shared" si="7"/>
        <v>0</v>
      </c>
      <c r="N20" s="544">
        <f t="shared" si="7"/>
        <v>0</v>
      </c>
      <c r="O20" s="544">
        <f t="shared" si="7"/>
        <v>0</v>
      </c>
      <c r="P20" s="544">
        <f t="shared" si="7"/>
        <v>0</v>
      </c>
      <c r="Q20" s="544">
        <f t="shared" si="7"/>
        <v>0</v>
      </c>
      <c r="R20" s="544">
        <f t="shared" si="7"/>
        <v>0</v>
      </c>
      <c r="S20" s="499">
        <f t="shared" si="7"/>
        <v>0</v>
      </c>
      <c r="T20" s="499">
        <f t="shared" si="7"/>
        <v>0</v>
      </c>
      <c r="U20" s="499">
        <f t="shared" si="7"/>
        <v>0</v>
      </c>
      <c r="V20" s="499">
        <f t="shared" si="7"/>
        <v>0</v>
      </c>
      <c r="W20" s="499">
        <f t="shared" si="7"/>
        <v>0</v>
      </c>
      <c r="X20" s="499">
        <f t="shared" si="7"/>
        <v>0</v>
      </c>
      <c r="Y20" s="499">
        <f t="shared" si="7"/>
        <v>0</v>
      </c>
      <c r="Z20" s="544">
        <f t="shared" si="7"/>
        <v>0</v>
      </c>
      <c r="AA20" s="544">
        <f t="shared" si="7"/>
        <v>0</v>
      </c>
      <c r="AB20" s="544">
        <f t="shared" si="7"/>
        <v>0</v>
      </c>
      <c r="AC20" s="544">
        <f t="shared" si="7"/>
        <v>0</v>
      </c>
      <c r="AD20" s="544">
        <f t="shared" si="7"/>
        <v>0</v>
      </c>
      <c r="AE20" s="544">
        <f t="shared" si="7"/>
        <v>0</v>
      </c>
      <c r="AF20" s="544">
        <f t="shared" si="7"/>
        <v>0</v>
      </c>
      <c r="AG20" s="544">
        <f t="shared" si="7"/>
        <v>0</v>
      </c>
      <c r="AH20" s="544">
        <f t="shared" si="7"/>
        <v>0</v>
      </c>
      <c r="AI20" s="499">
        <f t="shared" si="7"/>
        <v>0</v>
      </c>
      <c r="AJ20" s="499">
        <f t="shared" si="7"/>
        <v>0</v>
      </c>
      <c r="AK20" s="499">
        <f t="shared" si="7"/>
        <v>0</v>
      </c>
      <c r="AL20" s="468">
        <f t="shared" si="7"/>
        <v>0</v>
      </c>
      <c r="AM20" s="478"/>
      <c r="AN20" s="477"/>
      <c r="AQ20" s="555">
        <v>13</v>
      </c>
    </row>
    <row r="21" spans="1:43" ht="15">
      <c r="A21" s="484" t="s">
        <v>103</v>
      </c>
      <c r="B21" s="540" t="s">
        <v>65</v>
      </c>
      <c r="C21" s="467">
        <v>1</v>
      </c>
      <c r="D21" s="432"/>
      <c r="E21" s="477"/>
      <c r="F21" s="478"/>
      <c r="G21" s="560" t="s">
        <v>152</v>
      </c>
      <c r="H21" s="539"/>
      <c r="I21" s="544">
        <f>IF(I8&gt;$C$34,0,-$C$41)</f>
        <v>0</v>
      </c>
      <c r="J21" s="544">
        <f aca="true" t="shared" si="8" ref="J21:AL21">IF(J8&gt;$C$34,0,-$C$41)</f>
        <v>0</v>
      </c>
      <c r="K21" s="544">
        <f t="shared" si="8"/>
        <v>0</v>
      </c>
      <c r="L21" s="544">
        <f t="shared" si="8"/>
        <v>0</v>
      </c>
      <c r="M21" s="544">
        <f t="shared" si="8"/>
        <v>0</v>
      </c>
      <c r="N21" s="544">
        <f t="shared" si="8"/>
        <v>0</v>
      </c>
      <c r="O21" s="544">
        <f t="shared" si="8"/>
        <v>0</v>
      </c>
      <c r="P21" s="544">
        <f t="shared" si="8"/>
        <v>0</v>
      </c>
      <c r="Q21" s="544">
        <f t="shared" si="8"/>
        <v>0</v>
      </c>
      <c r="R21" s="544">
        <f t="shared" si="8"/>
        <v>0</v>
      </c>
      <c r="S21" s="499">
        <f t="shared" si="8"/>
        <v>0</v>
      </c>
      <c r="T21" s="499">
        <f t="shared" si="8"/>
        <v>0</v>
      </c>
      <c r="U21" s="499">
        <f t="shared" si="8"/>
        <v>0</v>
      </c>
      <c r="V21" s="499">
        <f t="shared" si="8"/>
        <v>0</v>
      </c>
      <c r="W21" s="499">
        <f t="shared" si="8"/>
        <v>0</v>
      </c>
      <c r="X21" s="499">
        <f t="shared" si="8"/>
        <v>0</v>
      </c>
      <c r="Y21" s="499">
        <f t="shared" si="8"/>
        <v>0</v>
      </c>
      <c r="Z21" s="544">
        <f t="shared" si="8"/>
        <v>0</v>
      </c>
      <c r="AA21" s="544">
        <f t="shared" si="8"/>
        <v>0</v>
      </c>
      <c r="AB21" s="544">
        <f t="shared" si="8"/>
        <v>0</v>
      </c>
      <c r="AC21" s="544">
        <f t="shared" si="8"/>
        <v>0</v>
      </c>
      <c r="AD21" s="544">
        <f t="shared" si="8"/>
        <v>0</v>
      </c>
      <c r="AE21" s="544">
        <f t="shared" si="8"/>
        <v>0</v>
      </c>
      <c r="AF21" s="544">
        <f t="shared" si="8"/>
        <v>0</v>
      </c>
      <c r="AG21" s="544">
        <f t="shared" si="8"/>
        <v>0</v>
      </c>
      <c r="AH21" s="544">
        <f t="shared" si="8"/>
        <v>0</v>
      </c>
      <c r="AI21" s="499">
        <f t="shared" si="8"/>
        <v>0</v>
      </c>
      <c r="AJ21" s="499">
        <f t="shared" si="8"/>
        <v>0</v>
      </c>
      <c r="AK21" s="499">
        <f t="shared" si="8"/>
        <v>0</v>
      </c>
      <c r="AL21" s="468">
        <f t="shared" si="8"/>
        <v>0</v>
      </c>
      <c r="AM21" s="478"/>
      <c r="AN21" s="477"/>
      <c r="AQ21" s="555">
        <v>14</v>
      </c>
    </row>
    <row r="22" spans="1:43" ht="15.75" thickBot="1">
      <c r="A22" s="480" t="s">
        <v>78</v>
      </c>
      <c r="B22" s="488"/>
      <c r="C22" s="552">
        <f>-C19*'ICAP Price&amp;Impact'!$P$57-C20*'ICAP Price&amp;Impact'!P38-C21*'ICAP Price&amp;Impact'!P19</f>
        <v>226689648.10000014</v>
      </c>
      <c r="D22" s="433"/>
      <c r="E22" s="477"/>
      <c r="F22" s="478"/>
      <c r="G22" s="455" t="s">
        <v>21</v>
      </c>
      <c r="H22" s="536"/>
      <c r="I22" s="445">
        <f>SUM(I18:I21)</f>
        <v>-11000000</v>
      </c>
      <c r="J22" s="446">
        <f aca="true" t="shared" si="9" ref="J22:AL22">SUM(J18:J21)</f>
        <v>-11252999.999999998</v>
      </c>
      <c r="K22" s="446">
        <f t="shared" si="9"/>
        <v>-11511818.999999998</v>
      </c>
      <c r="L22" s="446">
        <f t="shared" si="9"/>
        <v>-11776590.836999996</v>
      </c>
      <c r="M22" s="446">
        <f t="shared" si="9"/>
        <v>-12047452.426250996</v>
      </c>
      <c r="N22" s="446">
        <f t="shared" si="9"/>
        <v>-12324543.832054766</v>
      </c>
      <c r="O22" s="446">
        <f t="shared" si="9"/>
        <v>-12608008.340192027</v>
      </c>
      <c r="P22" s="446">
        <f t="shared" si="9"/>
        <v>-12897992.53201644</v>
      </c>
      <c r="Q22" s="446">
        <f t="shared" si="9"/>
        <v>-13194646.360252818</v>
      </c>
      <c r="R22" s="446">
        <f t="shared" si="9"/>
        <v>-13498123.22653863</v>
      </c>
      <c r="S22" s="494">
        <f t="shared" si="9"/>
        <v>-13808580.060749019</v>
      </c>
      <c r="T22" s="494">
        <f t="shared" si="9"/>
        <v>-14126177.402146244</v>
      </c>
      <c r="U22" s="494">
        <f t="shared" si="9"/>
        <v>-14451079.482395608</v>
      </c>
      <c r="V22" s="494">
        <f t="shared" si="9"/>
        <v>-14783454.310490705</v>
      </c>
      <c r="W22" s="494">
        <f t="shared" si="9"/>
        <v>-15123473.75963199</v>
      </c>
      <c r="X22" s="494">
        <f t="shared" si="9"/>
        <v>-15471313.656103522</v>
      </c>
      <c r="Y22" s="494">
        <f t="shared" si="9"/>
        <v>-15827153.870193902</v>
      </c>
      <c r="Z22" s="446">
        <f t="shared" si="9"/>
        <v>-16191178.40920836</v>
      </c>
      <c r="AA22" s="446">
        <f t="shared" si="9"/>
        <v>-16563575.512620153</v>
      </c>
      <c r="AB22" s="446">
        <f t="shared" si="9"/>
        <v>-16944537.749410413</v>
      </c>
      <c r="AC22" s="446">
        <f t="shared" si="9"/>
        <v>-17334262.11764685</v>
      </c>
      <c r="AD22" s="446">
        <f t="shared" si="9"/>
        <v>-17732950.146352727</v>
      </c>
      <c r="AE22" s="446">
        <f t="shared" si="9"/>
        <v>-18140807.999718837</v>
      </c>
      <c r="AF22" s="446">
        <f t="shared" si="9"/>
        <v>-18558046.583712365</v>
      </c>
      <c r="AG22" s="446">
        <f t="shared" si="9"/>
        <v>-18984881.65513775</v>
      </c>
      <c r="AH22" s="446">
        <f t="shared" si="9"/>
        <v>0</v>
      </c>
      <c r="AI22" s="494">
        <f t="shared" si="9"/>
        <v>0</v>
      </c>
      <c r="AJ22" s="494">
        <f t="shared" si="9"/>
        <v>0</v>
      </c>
      <c r="AK22" s="494">
        <f t="shared" si="9"/>
        <v>0</v>
      </c>
      <c r="AL22" s="470">
        <f t="shared" si="9"/>
        <v>0</v>
      </c>
      <c r="AM22" s="478"/>
      <c r="AN22" s="477"/>
      <c r="AQ22" s="555">
        <v>15</v>
      </c>
    </row>
    <row r="23" spans="1:43" ht="15.75" thickTop="1">
      <c r="A23" s="484" t="s">
        <v>76</v>
      </c>
      <c r="B23" s="553" t="s">
        <v>88</v>
      </c>
      <c r="C23" s="473">
        <v>5</v>
      </c>
      <c r="D23" s="433"/>
      <c r="E23" s="477"/>
      <c r="F23" s="478"/>
      <c r="G23" s="456"/>
      <c r="H23" s="428"/>
      <c r="I23" s="543"/>
      <c r="J23" s="428"/>
      <c r="K23" s="428"/>
      <c r="L23" s="428"/>
      <c r="M23" s="428"/>
      <c r="N23" s="428"/>
      <c r="O23" s="428"/>
      <c r="P23" s="428"/>
      <c r="Q23" s="428"/>
      <c r="R23" s="428"/>
      <c r="S23" s="491"/>
      <c r="T23" s="491"/>
      <c r="U23" s="491"/>
      <c r="V23" s="491"/>
      <c r="W23" s="491"/>
      <c r="X23" s="491"/>
      <c r="Y23" s="491"/>
      <c r="Z23" s="428"/>
      <c r="AA23" s="428"/>
      <c r="AB23" s="428"/>
      <c r="AC23" s="428"/>
      <c r="AD23" s="428"/>
      <c r="AE23" s="428"/>
      <c r="AF23" s="428"/>
      <c r="AG23" s="428"/>
      <c r="AH23" s="428"/>
      <c r="AI23" s="491"/>
      <c r="AJ23" s="491"/>
      <c r="AK23" s="491"/>
      <c r="AL23" s="469"/>
      <c r="AM23" s="478"/>
      <c r="AN23" s="477"/>
      <c r="AQ23" s="555">
        <v>16</v>
      </c>
    </row>
    <row r="24" spans="1:43" ht="15">
      <c r="A24" s="480" t="s">
        <v>48</v>
      </c>
      <c r="B24" s="430"/>
      <c r="C24" s="474">
        <v>1</v>
      </c>
      <c r="D24" s="433"/>
      <c r="E24" s="477"/>
      <c r="F24" s="478"/>
      <c r="G24" s="560" t="s">
        <v>22</v>
      </c>
      <c r="H24" s="539"/>
      <c r="I24" s="546">
        <f aca="true" t="shared" si="10" ref="I24:AL24">I16+I22</f>
        <v>20192332.8</v>
      </c>
      <c r="J24" s="533">
        <f t="shared" si="10"/>
        <v>20721267.7608288</v>
      </c>
      <c r="K24" s="533">
        <f t="shared" si="10"/>
        <v>21264149.830519825</v>
      </c>
      <c r="L24" s="533">
        <f t="shared" si="10"/>
        <v>21821348.721434668</v>
      </c>
      <c r="M24" s="533">
        <f t="shared" si="10"/>
        <v>22393243.986598894</v>
      </c>
      <c r="N24" s="533">
        <f t="shared" si="10"/>
        <v>22980225.282432623</v>
      </c>
      <c r="O24" s="533">
        <f t="shared" si="10"/>
        <v>23523758.215670638</v>
      </c>
      <c r="P24" s="533">
        <f t="shared" si="10"/>
        <v>24080175.455838263</v>
      </c>
      <c r="Q24" s="533">
        <f t="shared" si="10"/>
        <v>24649783.1317816</v>
      </c>
      <c r="R24" s="533">
        <f t="shared" si="10"/>
        <v>25232894.663512684</v>
      </c>
      <c r="S24" s="507">
        <f t="shared" si="10"/>
        <v>25829830.9363008</v>
      </c>
      <c r="T24" s="533">
        <f t="shared" si="10"/>
        <v>26440920.478931494</v>
      </c>
      <c r="U24" s="533">
        <f t="shared" si="10"/>
        <v>27066499.646232914</v>
      </c>
      <c r="V24" s="533">
        <f t="shared" si="10"/>
        <v>27706912.805972353</v>
      </c>
      <c r="W24" s="533">
        <f t="shared" si="10"/>
        <v>28362512.530227542</v>
      </c>
      <c r="X24" s="533">
        <f t="shared" si="10"/>
        <v>29033659.79134036</v>
      </c>
      <c r="Y24" s="533">
        <f t="shared" si="10"/>
        <v>29720724.16256286</v>
      </c>
      <c r="Z24" s="533">
        <f t="shared" si="10"/>
        <v>30424084.023508303</v>
      </c>
      <c r="AA24" s="533">
        <f t="shared" si="10"/>
        <v>31144126.770522565</v>
      </c>
      <c r="AB24" s="533">
        <f t="shared" si="10"/>
        <v>31881249.032094054</v>
      </c>
      <c r="AC24" s="533">
        <f t="shared" si="10"/>
        <v>32635856.889423244</v>
      </c>
      <c r="AD24" s="533">
        <f t="shared" si="10"/>
        <v>33408366.102275517</v>
      </c>
      <c r="AE24" s="533">
        <f t="shared" si="10"/>
        <v>34199202.340244494</v>
      </c>
      <c r="AF24" s="533">
        <f t="shared" si="10"/>
        <v>35008801.41955547</v>
      </c>
      <c r="AG24" s="533">
        <f t="shared" si="10"/>
        <v>35837609.54554246</v>
      </c>
      <c r="AH24" s="533">
        <f t="shared" si="10"/>
        <v>0</v>
      </c>
      <c r="AI24" s="507">
        <f t="shared" si="10"/>
        <v>0</v>
      </c>
      <c r="AJ24" s="533">
        <f t="shared" si="10"/>
        <v>0</v>
      </c>
      <c r="AK24" s="533">
        <f t="shared" si="10"/>
        <v>0</v>
      </c>
      <c r="AL24" s="515">
        <f t="shared" si="10"/>
        <v>0</v>
      </c>
      <c r="AM24" s="478"/>
      <c r="AN24" s="477"/>
      <c r="AQ24" s="555">
        <v>17</v>
      </c>
    </row>
    <row r="25" spans="1:43" ht="15">
      <c r="A25" s="484" t="s">
        <v>132</v>
      </c>
      <c r="B25" s="540"/>
      <c r="C25" s="251" t="s">
        <v>133</v>
      </c>
      <c r="D25" s="433"/>
      <c r="E25" s="477"/>
      <c r="F25" s="478"/>
      <c r="G25" s="560" t="s">
        <v>23</v>
      </c>
      <c r="H25" s="539"/>
      <c r="I25" s="544">
        <f>I51</f>
        <v>-14767500</v>
      </c>
      <c r="J25" s="427">
        <f aca="true" t="shared" si="11" ref="J25:AL25">J51</f>
        <v>-14473533.769238982</v>
      </c>
      <c r="K25" s="427">
        <f t="shared" si="11"/>
        <v>-14163781.551886097</v>
      </c>
      <c r="L25" s="427">
        <f t="shared" si="11"/>
        <v>-13837395.640461363</v>
      </c>
      <c r="M25" s="427">
        <f t="shared" si="11"/>
        <v>-13493482.805593122</v>
      </c>
      <c r="N25" s="427">
        <f t="shared" si="11"/>
        <v>-13131101.851492455</v>
      </c>
      <c r="O25" s="427">
        <f t="shared" si="11"/>
        <v>-12749261.04015658</v>
      </c>
      <c r="P25" s="427">
        <f t="shared" si="11"/>
        <v>-12346915.377251973</v>
      </c>
      <c r="Q25" s="427">
        <f t="shared" si="11"/>
        <v>-11922963.752249386</v>
      </c>
      <c r="R25" s="427">
        <f t="shared" si="11"/>
        <v>-11476245.924984159</v>
      </c>
      <c r="S25" s="490">
        <f t="shared" si="11"/>
        <v>-11005539.350394791</v>
      </c>
      <c r="T25" s="427">
        <f t="shared" si="11"/>
        <v>-10509555.832749974</v>
      </c>
      <c r="U25" s="427">
        <f t="shared" si="11"/>
        <v>-9986938.00020763</v>
      </c>
      <c r="V25" s="427">
        <f t="shared" si="11"/>
        <v>-9436255.590057762</v>
      </c>
      <c r="W25" s="427">
        <f t="shared" si="11"/>
        <v>-8856001.534482846</v>
      </c>
      <c r="X25" s="427">
        <f t="shared" si="11"/>
        <v>-8244587.836123557</v>
      </c>
      <c r="Y25" s="427">
        <f t="shared" si="11"/>
        <v>-7600341.222162373</v>
      </c>
      <c r="Z25" s="427">
        <f t="shared" si="11"/>
        <v>-6921498.565031474</v>
      </c>
      <c r="AA25" s="427">
        <f t="shared" si="11"/>
        <v>-6206202.057212647</v>
      </c>
      <c r="AB25" s="427">
        <f t="shared" si="11"/>
        <v>-5452494.1269239485</v>
      </c>
      <c r="AC25" s="427">
        <f t="shared" si="11"/>
        <v>-4658312.080778747</v>
      </c>
      <c r="AD25" s="427">
        <f t="shared" si="11"/>
        <v>-3821482.458755548</v>
      </c>
      <c r="AE25" s="427">
        <f t="shared" si="11"/>
        <v>-2939715.0860297033</v>
      </c>
      <c r="AF25" s="427">
        <f t="shared" si="11"/>
        <v>-2010596.805388481</v>
      </c>
      <c r="AG25" s="427">
        <f t="shared" si="11"/>
        <v>-1031584.8730768245</v>
      </c>
      <c r="AH25" s="427">
        <f t="shared" si="11"/>
        <v>0</v>
      </c>
      <c r="AI25" s="490">
        <f t="shared" si="11"/>
        <v>0</v>
      </c>
      <c r="AJ25" s="427">
        <f t="shared" si="11"/>
        <v>0</v>
      </c>
      <c r="AK25" s="427">
        <f t="shared" si="11"/>
        <v>0</v>
      </c>
      <c r="AL25" s="504">
        <f t="shared" si="11"/>
        <v>0</v>
      </c>
      <c r="AM25" s="478"/>
      <c r="AN25" s="477"/>
      <c r="AQ25" s="555">
        <v>18</v>
      </c>
    </row>
    <row r="26" spans="1:43" ht="15">
      <c r="A26" s="505" t="s">
        <v>8</v>
      </c>
      <c r="B26" s="518"/>
      <c r="C26" s="493"/>
      <c r="D26" s="434"/>
      <c r="E26" s="477"/>
      <c r="F26" s="478"/>
      <c r="G26" s="561" t="s">
        <v>24</v>
      </c>
      <c r="H26" s="538"/>
      <c r="I26" s="544">
        <f>I46</f>
        <v>-55000000</v>
      </c>
      <c r="J26" s="427">
        <f>J46</f>
        <v>-99000000</v>
      </c>
      <c r="K26" s="427">
        <f aca="true" t="shared" si="12" ref="K26:AL26">K46</f>
        <v>-79200000</v>
      </c>
      <c r="L26" s="427">
        <f t="shared" si="12"/>
        <v>-63360000</v>
      </c>
      <c r="M26" s="427">
        <f t="shared" si="12"/>
        <v>-50710000</v>
      </c>
      <c r="N26" s="427">
        <f t="shared" si="12"/>
        <v>-40535000</v>
      </c>
      <c r="O26" s="427">
        <f t="shared" si="12"/>
        <v>-36025000</v>
      </c>
      <c r="P26" s="427">
        <f t="shared" si="12"/>
        <v>-36025000</v>
      </c>
      <c r="Q26" s="427">
        <f t="shared" si="12"/>
        <v>-36080000</v>
      </c>
      <c r="R26" s="427">
        <f t="shared" si="12"/>
        <v>-36025000</v>
      </c>
      <c r="S26" s="490">
        <f t="shared" si="12"/>
        <v>-18040000</v>
      </c>
      <c r="T26" s="427">
        <f t="shared" si="12"/>
        <v>0</v>
      </c>
      <c r="U26" s="427">
        <f t="shared" si="12"/>
        <v>0</v>
      </c>
      <c r="V26" s="427">
        <f t="shared" si="12"/>
        <v>0</v>
      </c>
      <c r="W26" s="427">
        <f t="shared" si="12"/>
        <v>0</v>
      </c>
      <c r="X26" s="427">
        <f t="shared" si="12"/>
        <v>0</v>
      </c>
      <c r="Y26" s="427">
        <f t="shared" si="12"/>
        <v>0</v>
      </c>
      <c r="Z26" s="427">
        <f t="shared" si="12"/>
        <v>0</v>
      </c>
      <c r="AA26" s="427">
        <f t="shared" si="12"/>
        <v>0</v>
      </c>
      <c r="AB26" s="427">
        <f t="shared" si="12"/>
        <v>0</v>
      </c>
      <c r="AC26" s="427">
        <f t="shared" si="12"/>
        <v>0</v>
      </c>
      <c r="AD26" s="427">
        <f t="shared" si="12"/>
        <v>0</v>
      </c>
      <c r="AE26" s="427">
        <f t="shared" si="12"/>
        <v>0</v>
      </c>
      <c r="AF26" s="427">
        <f t="shared" si="12"/>
        <v>0</v>
      </c>
      <c r="AG26" s="427">
        <f t="shared" si="12"/>
        <v>0</v>
      </c>
      <c r="AH26" s="427">
        <f t="shared" si="12"/>
        <v>0</v>
      </c>
      <c r="AI26" s="490">
        <f t="shared" si="12"/>
        <v>0</v>
      </c>
      <c r="AJ26" s="427">
        <f t="shared" si="12"/>
        <v>0</v>
      </c>
      <c r="AK26" s="427">
        <f t="shared" si="12"/>
        <v>0</v>
      </c>
      <c r="AL26" s="504">
        <f t="shared" si="12"/>
        <v>0</v>
      </c>
      <c r="AM26" s="478"/>
      <c r="AN26" s="477"/>
      <c r="AQ26" s="555">
        <v>19</v>
      </c>
    </row>
    <row r="27" spans="1:43" ht="15.75" thickBot="1">
      <c r="A27" s="484" t="s">
        <v>9</v>
      </c>
      <c r="B27" s="488"/>
      <c r="C27" s="575">
        <v>0.5</v>
      </c>
      <c r="E27" s="477"/>
      <c r="F27" s="478"/>
      <c r="G27" s="453" t="s">
        <v>25</v>
      </c>
      <c r="H27" s="537"/>
      <c r="I27" s="443">
        <f>SUM(I24:I26)</f>
        <v>-49575167.2</v>
      </c>
      <c r="J27" s="444">
        <f aca="true" t="shared" si="13" ref="J27:R27">SUM(J24:J26)</f>
        <v>-92752266.00841019</v>
      </c>
      <c r="K27" s="444">
        <f t="shared" si="13"/>
        <v>-72099631.72136627</v>
      </c>
      <c r="L27" s="444">
        <f t="shared" si="13"/>
        <v>-55376046.919026695</v>
      </c>
      <c r="M27" s="444">
        <f t="shared" si="13"/>
        <v>-41810238.818994224</v>
      </c>
      <c r="N27" s="444">
        <f t="shared" si="13"/>
        <v>-30685876.569059834</v>
      </c>
      <c r="O27" s="444">
        <f t="shared" si="13"/>
        <v>-25250502.824485943</v>
      </c>
      <c r="P27" s="444">
        <f t="shared" si="13"/>
        <v>-24291739.921413712</v>
      </c>
      <c r="Q27" s="444">
        <f t="shared" si="13"/>
        <v>-23353180.620467786</v>
      </c>
      <c r="R27" s="444">
        <f t="shared" si="13"/>
        <v>-22268351.261471473</v>
      </c>
      <c r="S27" s="498">
        <f>SUM(S24:S26)</f>
        <v>-3215708.4140939917</v>
      </c>
      <c r="T27" s="444">
        <f>SUM(T24:T26)</f>
        <v>15931364.64618152</v>
      </c>
      <c r="U27" s="444">
        <f>SUM(U24:U26)</f>
        <v>17079561.646025285</v>
      </c>
      <c r="V27" s="444">
        <f>SUM(V24:V26)</f>
        <v>18270657.215914592</v>
      </c>
      <c r="W27" s="444">
        <f>SUM(W24:W26)</f>
        <v>19506510.995744698</v>
      </c>
      <c r="X27" s="444">
        <f>SUM(X24:X26)</f>
        <v>20789071.955216803</v>
      </c>
      <c r="Y27" s="444">
        <f>SUM(Y24:Y26)</f>
        <v>22120382.940400485</v>
      </c>
      <c r="Z27" s="444">
        <f aca="true" t="shared" si="14" ref="Z27:AH27">SUM(Z24:Z26)</f>
        <v>23502585.458476827</v>
      </c>
      <c r="AA27" s="444">
        <f t="shared" si="14"/>
        <v>24937924.713309918</v>
      </c>
      <c r="AB27" s="444">
        <f t="shared" si="14"/>
        <v>26428754.905170105</v>
      </c>
      <c r="AC27" s="444">
        <f t="shared" si="14"/>
        <v>27977544.808644496</v>
      </c>
      <c r="AD27" s="444">
        <f t="shared" si="14"/>
        <v>29586883.643519968</v>
      </c>
      <c r="AE27" s="444">
        <f t="shared" si="14"/>
        <v>31259487.25421479</v>
      </c>
      <c r="AF27" s="444">
        <f t="shared" si="14"/>
        <v>32998204.61416699</v>
      </c>
      <c r="AG27" s="444">
        <f t="shared" si="14"/>
        <v>34806024.67246564</v>
      </c>
      <c r="AH27" s="444">
        <f t="shared" si="14"/>
        <v>0</v>
      </c>
      <c r="AI27" s="498">
        <f>SUM(AI24:AI26)</f>
        <v>0</v>
      </c>
      <c r="AJ27" s="444">
        <f>SUM(AJ24:AJ26)</f>
        <v>0</v>
      </c>
      <c r="AK27" s="444">
        <f>SUM(AK24:AK26)</f>
        <v>0</v>
      </c>
      <c r="AL27" s="512">
        <f>SUM(AL24:AL26)</f>
        <v>0</v>
      </c>
      <c r="AM27" s="478"/>
      <c r="AN27" s="477"/>
      <c r="AQ27" s="555">
        <v>20</v>
      </c>
    </row>
    <row r="28" spans="1:43" ht="15.75" thickTop="1">
      <c r="A28" s="480" t="s">
        <v>10</v>
      </c>
      <c r="B28" s="541"/>
      <c r="C28" s="476">
        <f>1-C27</f>
        <v>0.5</v>
      </c>
      <c r="D28" s="542"/>
      <c r="E28" s="477"/>
      <c r="F28" s="478"/>
      <c r="G28" s="456"/>
      <c r="H28" s="428"/>
      <c r="I28" s="543"/>
      <c r="J28" s="428"/>
      <c r="K28" s="428"/>
      <c r="L28" s="428"/>
      <c r="M28" s="428"/>
      <c r="N28" s="428"/>
      <c r="O28" s="428"/>
      <c r="P28" s="428"/>
      <c r="Q28" s="428"/>
      <c r="R28" s="428"/>
      <c r="S28" s="491"/>
      <c r="T28" s="428"/>
      <c r="U28" s="428"/>
      <c r="V28" s="428"/>
      <c r="W28" s="491"/>
      <c r="X28" s="491"/>
      <c r="Y28" s="491"/>
      <c r="Z28" s="428"/>
      <c r="AA28" s="428"/>
      <c r="AB28" s="428"/>
      <c r="AC28" s="428"/>
      <c r="AD28" s="428"/>
      <c r="AE28" s="428"/>
      <c r="AF28" s="428"/>
      <c r="AG28" s="428"/>
      <c r="AH28" s="428"/>
      <c r="AI28" s="491"/>
      <c r="AJ28" s="428"/>
      <c r="AK28" s="428"/>
      <c r="AL28" s="471"/>
      <c r="AM28" s="478"/>
      <c r="AN28" s="477"/>
      <c r="AQ28" s="555">
        <v>21</v>
      </c>
    </row>
    <row r="29" spans="1:43" ht="15">
      <c r="A29" s="484" t="s">
        <v>11</v>
      </c>
      <c r="B29" s="488"/>
      <c r="C29" s="603">
        <v>0.0537</v>
      </c>
      <c r="D29" s="542"/>
      <c r="E29" s="477"/>
      <c r="F29" s="478"/>
      <c r="G29" s="562" t="s">
        <v>136</v>
      </c>
      <c r="H29" s="428"/>
      <c r="I29" s="544">
        <f>MAX(0,IF(I$8&gt;$C$33,0,$C$14*$C$11*$C$9*8760))</f>
        <v>8059200.000000001</v>
      </c>
      <c r="J29" s="544">
        <f aca="true" t="shared" si="15" ref="J29:AL29">MAX(0,IF(J$8&gt;$C$33,0,$C$14*$C$11*$C$9*8760))</f>
        <v>8059200.000000001</v>
      </c>
      <c r="K29" s="544">
        <f t="shared" si="15"/>
        <v>8059200.000000001</v>
      </c>
      <c r="L29" s="544">
        <f t="shared" si="15"/>
        <v>8059200.000000001</v>
      </c>
      <c r="M29" s="544">
        <f t="shared" si="15"/>
        <v>8059200.000000001</v>
      </c>
      <c r="N29" s="544">
        <f t="shared" si="15"/>
        <v>8059200.000000001</v>
      </c>
      <c r="O29" s="544">
        <f t="shared" si="15"/>
        <v>8059200.000000001</v>
      </c>
      <c r="P29" s="544">
        <f t="shared" si="15"/>
        <v>8059200.000000001</v>
      </c>
      <c r="Q29" s="544">
        <f t="shared" si="15"/>
        <v>8059200.000000001</v>
      </c>
      <c r="R29" s="544">
        <f t="shared" si="15"/>
        <v>8059200.000000001</v>
      </c>
      <c r="S29" s="544">
        <f t="shared" si="15"/>
        <v>0</v>
      </c>
      <c r="T29" s="544">
        <f t="shared" si="15"/>
        <v>0</v>
      </c>
      <c r="U29" s="544">
        <f t="shared" si="15"/>
        <v>0</v>
      </c>
      <c r="V29" s="544">
        <f t="shared" si="15"/>
        <v>0</v>
      </c>
      <c r="W29" s="544">
        <f t="shared" si="15"/>
        <v>0</v>
      </c>
      <c r="X29" s="544">
        <f t="shared" si="15"/>
        <v>0</v>
      </c>
      <c r="Y29" s="544">
        <f t="shared" si="15"/>
        <v>0</v>
      </c>
      <c r="Z29" s="544">
        <f t="shared" si="15"/>
        <v>0</v>
      </c>
      <c r="AA29" s="544">
        <f t="shared" si="15"/>
        <v>0</v>
      </c>
      <c r="AB29" s="544">
        <f t="shared" si="15"/>
        <v>0</v>
      </c>
      <c r="AC29" s="544">
        <f t="shared" si="15"/>
        <v>0</v>
      </c>
      <c r="AD29" s="544">
        <f t="shared" si="15"/>
        <v>0</v>
      </c>
      <c r="AE29" s="544">
        <f t="shared" si="15"/>
        <v>0</v>
      </c>
      <c r="AF29" s="544">
        <f t="shared" si="15"/>
        <v>0</v>
      </c>
      <c r="AG29" s="544">
        <f t="shared" si="15"/>
        <v>0</v>
      </c>
      <c r="AH29" s="544">
        <f t="shared" si="15"/>
        <v>0</v>
      </c>
      <c r="AI29" s="544">
        <f t="shared" si="15"/>
        <v>0</v>
      </c>
      <c r="AJ29" s="544">
        <f t="shared" si="15"/>
        <v>0</v>
      </c>
      <c r="AK29" s="544">
        <f t="shared" si="15"/>
        <v>0</v>
      </c>
      <c r="AL29" s="475">
        <f t="shared" si="15"/>
        <v>0</v>
      </c>
      <c r="AM29" s="478"/>
      <c r="AN29" s="477"/>
      <c r="AQ29" s="555">
        <v>22</v>
      </c>
    </row>
    <row r="30" spans="1:43" ht="15">
      <c r="A30" s="484" t="s">
        <v>12</v>
      </c>
      <c r="B30" s="488"/>
      <c r="C30" s="603">
        <v>0.0893</v>
      </c>
      <c r="D30" s="542"/>
      <c r="E30" s="477"/>
      <c r="F30" s="478"/>
      <c r="G30" s="562" t="s">
        <v>26</v>
      </c>
      <c r="H30" s="428"/>
      <c r="I30" s="544">
        <f>-MAX(I27*$C$32,0)</f>
        <v>0</v>
      </c>
      <c r="J30" s="544">
        <f aca="true" t="shared" si="16" ref="J30:AL30">-MAX(J27*$C$32,0)</f>
        <v>0</v>
      </c>
      <c r="K30" s="544">
        <f t="shared" si="16"/>
        <v>0</v>
      </c>
      <c r="L30" s="544">
        <f t="shared" si="16"/>
        <v>0</v>
      </c>
      <c r="M30" s="544">
        <f t="shared" si="16"/>
        <v>0</v>
      </c>
      <c r="N30" s="544">
        <f t="shared" si="16"/>
        <v>0</v>
      </c>
      <c r="O30" s="544">
        <f t="shared" si="16"/>
        <v>0</v>
      </c>
      <c r="P30" s="544">
        <f t="shared" si="16"/>
        <v>0</v>
      </c>
      <c r="Q30" s="544">
        <f t="shared" si="16"/>
        <v>0</v>
      </c>
      <c r="R30" s="544">
        <f t="shared" si="16"/>
        <v>0</v>
      </c>
      <c r="S30" s="544">
        <f t="shared" si="16"/>
        <v>0</v>
      </c>
      <c r="T30" s="544">
        <f t="shared" si="16"/>
        <v>-7227661.855856401</v>
      </c>
      <c r="U30" s="544">
        <f t="shared" si="16"/>
        <v>-7748570.129760521</v>
      </c>
      <c r="V30" s="544">
        <f t="shared" si="16"/>
        <v>-8288940.412430053</v>
      </c>
      <c r="W30" s="544">
        <f t="shared" si="16"/>
        <v>-8849616.375994476</v>
      </c>
      <c r="X30" s="544">
        <f t="shared" si="16"/>
        <v>-9431482.219282983</v>
      </c>
      <c r="Y30" s="544">
        <f t="shared" si="16"/>
        <v>-10035464.73048619</v>
      </c>
      <c r="Z30" s="544">
        <f t="shared" si="16"/>
        <v>-10662535.457874475</v>
      </c>
      <c r="AA30" s="544">
        <f t="shared" si="16"/>
        <v>-11313712.994310876</v>
      </c>
      <c r="AB30" s="544">
        <f t="shared" si="16"/>
        <v>-11990065.381603047</v>
      </c>
      <c r="AC30" s="544">
        <f t="shared" si="16"/>
        <v>-12692712.641061792</v>
      </c>
      <c r="AD30" s="544">
        <f t="shared" si="16"/>
        <v>-13422829.436973922</v>
      </c>
      <c r="AE30" s="544">
        <f t="shared" si="16"/>
        <v>-14181647.880055895</v>
      </c>
      <c r="AF30" s="544">
        <f t="shared" si="16"/>
        <v>-14970460.478332208</v>
      </c>
      <c r="AG30" s="544">
        <f t="shared" si="16"/>
        <v>-15790623.243280848</v>
      </c>
      <c r="AH30" s="544">
        <f t="shared" si="16"/>
        <v>0</v>
      </c>
      <c r="AI30" s="544">
        <f t="shared" si="16"/>
        <v>0</v>
      </c>
      <c r="AJ30" s="544">
        <f t="shared" si="16"/>
        <v>0</v>
      </c>
      <c r="AK30" s="544">
        <f t="shared" si="16"/>
        <v>0</v>
      </c>
      <c r="AL30" s="475">
        <f t="shared" si="16"/>
        <v>0</v>
      </c>
      <c r="AM30" s="478"/>
      <c r="AN30" s="477"/>
      <c r="AQ30" s="555">
        <v>23</v>
      </c>
    </row>
    <row r="31" spans="1:43" ht="15">
      <c r="A31" s="480" t="s">
        <v>13</v>
      </c>
      <c r="B31" s="488"/>
      <c r="C31" s="603">
        <v>0.023</v>
      </c>
      <c r="D31" s="436"/>
      <c r="E31" s="477"/>
      <c r="F31" s="478"/>
      <c r="G31" s="562" t="s">
        <v>144</v>
      </c>
      <c r="H31" s="428"/>
      <c r="I31" s="544">
        <f>I29</f>
        <v>8059200.000000001</v>
      </c>
      <c r="J31" s="544">
        <f>IF(J$8&gt;20,0,MAX(I31+J30+J29,0))</f>
        <v>16118400.000000002</v>
      </c>
      <c r="K31" s="544">
        <f aca="true" t="shared" si="17" ref="K31:AL31">IF(K$8&gt;20,0,MAX(J31+K30+K29,0))</f>
        <v>24177600.000000004</v>
      </c>
      <c r="L31" s="544">
        <f t="shared" si="17"/>
        <v>32236800.000000004</v>
      </c>
      <c r="M31" s="544">
        <f t="shared" si="17"/>
        <v>40296000.00000001</v>
      </c>
      <c r="N31" s="544">
        <f t="shared" si="17"/>
        <v>48355200.00000001</v>
      </c>
      <c r="O31" s="544">
        <f t="shared" si="17"/>
        <v>56414400.00000001</v>
      </c>
      <c r="P31" s="544">
        <f t="shared" si="17"/>
        <v>64473600.00000001</v>
      </c>
      <c r="Q31" s="544">
        <f t="shared" si="17"/>
        <v>72532800.00000001</v>
      </c>
      <c r="R31" s="544">
        <f t="shared" si="17"/>
        <v>80592000.00000001</v>
      </c>
      <c r="S31" s="544">
        <f t="shared" si="17"/>
        <v>80592000.00000001</v>
      </c>
      <c r="T31" s="544">
        <f t="shared" si="17"/>
        <v>73364338.14414361</v>
      </c>
      <c r="U31" s="544">
        <f t="shared" si="17"/>
        <v>65615768.01438309</v>
      </c>
      <c r="V31" s="544">
        <f t="shared" si="17"/>
        <v>57326827.60195304</v>
      </c>
      <c r="W31" s="544">
        <f t="shared" si="17"/>
        <v>48477211.22595856</v>
      </c>
      <c r="X31" s="544">
        <f t="shared" si="17"/>
        <v>39045729.00667558</v>
      </c>
      <c r="Y31" s="544">
        <f t="shared" si="17"/>
        <v>29010264.276189387</v>
      </c>
      <c r="Z31" s="544">
        <f t="shared" si="17"/>
        <v>18347728.81831491</v>
      </c>
      <c r="AA31" s="544">
        <f t="shared" si="17"/>
        <v>7034015.824004034</v>
      </c>
      <c r="AB31" s="544">
        <f t="shared" si="17"/>
        <v>0</v>
      </c>
      <c r="AC31" s="544">
        <f t="shared" si="17"/>
        <v>0</v>
      </c>
      <c r="AD31" s="544">
        <f t="shared" si="17"/>
        <v>0</v>
      </c>
      <c r="AE31" s="544">
        <f t="shared" si="17"/>
        <v>0</v>
      </c>
      <c r="AF31" s="544">
        <f t="shared" si="17"/>
        <v>0</v>
      </c>
      <c r="AG31" s="544">
        <f t="shared" si="17"/>
        <v>0</v>
      </c>
      <c r="AH31" s="544">
        <f t="shared" si="17"/>
        <v>0</v>
      </c>
      <c r="AI31" s="544">
        <f t="shared" si="17"/>
        <v>0</v>
      </c>
      <c r="AJ31" s="544">
        <f t="shared" si="17"/>
        <v>0</v>
      </c>
      <c r="AK31" s="544">
        <f t="shared" si="17"/>
        <v>0</v>
      </c>
      <c r="AL31" s="475">
        <f t="shared" si="17"/>
        <v>0</v>
      </c>
      <c r="AM31" s="478"/>
      <c r="AN31" s="477"/>
      <c r="AQ31" s="555">
        <v>24</v>
      </c>
    </row>
    <row r="32" spans="1:43" ht="15">
      <c r="A32" s="484" t="s">
        <v>14</v>
      </c>
      <c r="B32" s="488"/>
      <c r="C32" s="603">
        <v>0.453675</v>
      </c>
      <c r="D32" s="436"/>
      <c r="E32" s="477"/>
      <c r="F32" s="478"/>
      <c r="G32" s="562" t="s">
        <v>145</v>
      </c>
      <c r="H32" s="535"/>
      <c r="I32" s="547">
        <f>-MAX(MAX(I27*$AS$46-I31,0)+$AS$50*I27,0)</f>
        <v>0</v>
      </c>
      <c r="J32" s="547">
        <f aca="true" t="shared" si="18" ref="J32:AL32">-MAX(MAX(J27*$AS$46-J31,0)+$AS$50*J27,0)</f>
        <v>0</v>
      </c>
      <c r="K32" s="547">
        <f t="shared" si="18"/>
        <v>0</v>
      </c>
      <c r="L32" s="547">
        <f t="shared" si="18"/>
        <v>0</v>
      </c>
      <c r="M32" s="547">
        <f t="shared" si="18"/>
        <v>0</v>
      </c>
      <c r="N32" s="547">
        <f t="shared" si="18"/>
        <v>0</v>
      </c>
      <c r="O32" s="547">
        <f t="shared" si="18"/>
        <v>0</v>
      </c>
      <c r="P32" s="547">
        <f t="shared" si="18"/>
        <v>0</v>
      </c>
      <c r="Q32" s="547">
        <f t="shared" si="18"/>
        <v>0</v>
      </c>
      <c r="R32" s="547">
        <f t="shared" si="18"/>
        <v>0</v>
      </c>
      <c r="S32" s="547">
        <f t="shared" si="18"/>
        <v>0</v>
      </c>
      <c r="T32" s="547">
        <f t="shared" si="18"/>
        <v>-1651684.229692869</v>
      </c>
      <c r="U32" s="547">
        <f t="shared" si="18"/>
        <v>-1770723.5536516712</v>
      </c>
      <c r="V32" s="547">
        <f t="shared" si="18"/>
        <v>-1894210.3868599453</v>
      </c>
      <c r="W32" s="547">
        <f t="shared" si="18"/>
        <v>-2022337.5274838314</v>
      </c>
      <c r="X32" s="547">
        <f t="shared" si="18"/>
        <v>-2155307.0349571016</v>
      </c>
      <c r="Y32" s="547">
        <f t="shared" si="18"/>
        <v>-2293330.70134602</v>
      </c>
      <c r="Z32" s="547">
        <f t="shared" si="18"/>
        <v>-2436630.5474075847</v>
      </c>
      <c r="AA32" s="547">
        <f t="shared" si="18"/>
        <v>-4279697.170306843</v>
      </c>
      <c r="AB32" s="547">
        <f t="shared" si="18"/>
        <v>-11990065.381603045</v>
      </c>
      <c r="AC32" s="547">
        <f t="shared" si="18"/>
        <v>-12692712.64106179</v>
      </c>
      <c r="AD32" s="547">
        <f t="shared" si="18"/>
        <v>-13422829.43697392</v>
      </c>
      <c r="AE32" s="547">
        <f t="shared" si="18"/>
        <v>-14181647.880055893</v>
      </c>
      <c r="AF32" s="547">
        <f t="shared" si="18"/>
        <v>-14970460.478332208</v>
      </c>
      <c r="AG32" s="547">
        <f t="shared" si="18"/>
        <v>-15790623.243280847</v>
      </c>
      <c r="AH32" s="547">
        <f t="shared" si="18"/>
        <v>0</v>
      </c>
      <c r="AI32" s="547">
        <f t="shared" si="18"/>
        <v>0</v>
      </c>
      <c r="AJ32" s="547">
        <f t="shared" si="18"/>
        <v>0</v>
      </c>
      <c r="AK32" s="547">
        <f t="shared" si="18"/>
        <v>0</v>
      </c>
      <c r="AL32" s="587">
        <f t="shared" si="18"/>
        <v>0</v>
      </c>
      <c r="AM32" s="478"/>
      <c r="AN32" s="477"/>
      <c r="AQ32" s="555">
        <v>25</v>
      </c>
    </row>
    <row r="33" spans="1:43" ht="15">
      <c r="A33" s="484" t="s">
        <v>98</v>
      </c>
      <c r="B33" s="488"/>
      <c r="C33" s="472">
        <v>10</v>
      </c>
      <c r="D33" s="436"/>
      <c r="E33" s="477"/>
      <c r="F33" s="478"/>
      <c r="G33" s="456" t="s">
        <v>27</v>
      </c>
      <c r="H33" s="428"/>
      <c r="I33" s="544">
        <f>I52</f>
        <v>-5474231.485307593</v>
      </c>
      <c r="J33" s="427">
        <f aca="true" t="shared" si="19" ref="J33:X33">J52</f>
        <v>-5768197.716068611</v>
      </c>
      <c r="K33" s="427">
        <f t="shared" si="19"/>
        <v>-6077949.933421496</v>
      </c>
      <c r="L33" s="427">
        <f t="shared" si="19"/>
        <v>-6404335.84484623</v>
      </c>
      <c r="M33" s="427">
        <f t="shared" si="19"/>
        <v>-6748248.679714471</v>
      </c>
      <c r="N33" s="427">
        <f t="shared" si="19"/>
        <v>-7110629.633815138</v>
      </c>
      <c r="O33" s="427">
        <f t="shared" si="19"/>
        <v>-7492470.445151012</v>
      </c>
      <c r="P33" s="427">
        <f t="shared" si="19"/>
        <v>-7894816.1080556195</v>
      </c>
      <c r="Q33" s="427">
        <f t="shared" si="19"/>
        <v>-8318767.733058207</v>
      </c>
      <c r="R33" s="427">
        <f t="shared" si="19"/>
        <v>-8765485.560323434</v>
      </c>
      <c r="S33" s="490">
        <f t="shared" si="19"/>
        <v>-9236192.134912802</v>
      </c>
      <c r="T33" s="427">
        <f t="shared" si="19"/>
        <v>-9732175.652557619</v>
      </c>
      <c r="U33" s="427">
        <f t="shared" si="19"/>
        <v>-10254793.485099962</v>
      </c>
      <c r="V33" s="427">
        <f t="shared" si="19"/>
        <v>-10805475.89524983</v>
      </c>
      <c r="W33" s="490">
        <f t="shared" si="19"/>
        <v>-11385729.950824747</v>
      </c>
      <c r="X33" s="490">
        <f t="shared" si="19"/>
        <v>-11997143.649184037</v>
      </c>
      <c r="Y33" s="490">
        <f>Y52</f>
        <v>-12641390.26314522</v>
      </c>
      <c r="Z33" s="427">
        <f aca="true" t="shared" si="20" ref="Z33:AL33">Z52</f>
        <v>-13320232.920276118</v>
      </c>
      <c r="AA33" s="427">
        <f t="shared" si="20"/>
        <v>-14035529.428094946</v>
      </c>
      <c r="AB33" s="427">
        <f t="shared" si="20"/>
        <v>-14789237.358383644</v>
      </c>
      <c r="AC33" s="427">
        <f t="shared" si="20"/>
        <v>-15583419.404528845</v>
      </c>
      <c r="AD33" s="427">
        <f t="shared" si="20"/>
        <v>-16420249.026552044</v>
      </c>
      <c r="AE33" s="427">
        <f t="shared" si="20"/>
        <v>-17302016.39927789</v>
      </c>
      <c r="AF33" s="427">
        <f t="shared" si="20"/>
        <v>-18231134.679919112</v>
      </c>
      <c r="AG33" s="427">
        <f t="shared" si="20"/>
        <v>-19210146.61223077</v>
      </c>
      <c r="AH33" s="427">
        <f t="shared" si="20"/>
        <v>0</v>
      </c>
      <c r="AI33" s="490">
        <f t="shared" si="20"/>
        <v>0</v>
      </c>
      <c r="AJ33" s="427">
        <f t="shared" si="20"/>
        <v>0</v>
      </c>
      <c r="AK33" s="427">
        <f t="shared" si="20"/>
        <v>0</v>
      </c>
      <c r="AL33" s="504">
        <f t="shared" si="20"/>
        <v>0</v>
      </c>
      <c r="AM33" s="478"/>
      <c r="AN33" s="477"/>
      <c r="AQ33" s="555">
        <v>26</v>
      </c>
    </row>
    <row r="34" spans="1:43" ht="15.75" thickBot="1">
      <c r="A34" s="480" t="s">
        <v>75</v>
      </c>
      <c r="B34" s="488"/>
      <c r="C34" s="472">
        <v>25</v>
      </c>
      <c r="D34" s="436"/>
      <c r="E34" s="477"/>
      <c r="F34" s="478"/>
      <c r="G34" s="457" t="s">
        <v>40</v>
      </c>
      <c r="H34" s="548"/>
      <c r="I34" s="439">
        <f aca="true" t="shared" si="21" ref="I34:AL34">I24+I25+I32+I33</f>
        <v>-49398.68530759215</v>
      </c>
      <c r="J34" s="440">
        <f t="shared" si="21"/>
        <v>479536.2755212076</v>
      </c>
      <c r="K34" s="440">
        <f t="shared" si="21"/>
        <v>1022418.3452122323</v>
      </c>
      <c r="L34" s="440">
        <f t="shared" si="21"/>
        <v>1579617.2361270748</v>
      </c>
      <c r="M34" s="440">
        <f t="shared" si="21"/>
        <v>2151512.501291301</v>
      </c>
      <c r="N34" s="440">
        <f t="shared" si="21"/>
        <v>2738493.7971250303</v>
      </c>
      <c r="O34" s="440">
        <f t="shared" si="21"/>
        <v>3282026.730363045</v>
      </c>
      <c r="P34" s="440">
        <f t="shared" si="21"/>
        <v>3838443.97053067</v>
      </c>
      <c r="Q34" s="440">
        <f t="shared" si="21"/>
        <v>4408051.6464740075</v>
      </c>
      <c r="R34" s="440">
        <f t="shared" si="21"/>
        <v>4991163.1782050915</v>
      </c>
      <c r="S34" s="514">
        <f t="shared" si="21"/>
        <v>5588099.450993206</v>
      </c>
      <c r="T34" s="440">
        <f t="shared" si="21"/>
        <v>4547504.763931032</v>
      </c>
      <c r="U34" s="440">
        <f t="shared" si="21"/>
        <v>5054044.607273651</v>
      </c>
      <c r="V34" s="440">
        <f t="shared" si="21"/>
        <v>5570970.933804816</v>
      </c>
      <c r="W34" s="514">
        <f t="shared" si="21"/>
        <v>6098443.517436119</v>
      </c>
      <c r="X34" s="514">
        <f t="shared" si="21"/>
        <v>6636621.271075662</v>
      </c>
      <c r="Y34" s="514">
        <f t="shared" si="21"/>
        <v>7185661.975909244</v>
      </c>
      <c r="Z34" s="440">
        <f t="shared" si="21"/>
        <v>7745721.990793122</v>
      </c>
      <c r="AA34" s="440">
        <f t="shared" si="21"/>
        <v>6622698.114908129</v>
      </c>
      <c r="AB34" s="440">
        <f t="shared" si="21"/>
        <v>-350547.83481658436</v>
      </c>
      <c r="AC34" s="440">
        <f t="shared" si="21"/>
        <v>-298587.2369461395</v>
      </c>
      <c r="AD34" s="440">
        <f t="shared" si="21"/>
        <v>-256194.82000599615</v>
      </c>
      <c r="AE34" s="440">
        <f t="shared" si="21"/>
        <v>-224177.02511899173</v>
      </c>
      <c r="AF34" s="440">
        <f t="shared" si="21"/>
        <v>-203390.54408432916</v>
      </c>
      <c r="AG34" s="440">
        <f t="shared" si="21"/>
        <v>-194745.1830459796</v>
      </c>
      <c r="AH34" s="440">
        <f t="shared" si="21"/>
        <v>0</v>
      </c>
      <c r="AI34" s="514">
        <f t="shared" si="21"/>
        <v>0</v>
      </c>
      <c r="AJ34" s="440">
        <f t="shared" si="21"/>
        <v>0</v>
      </c>
      <c r="AK34" s="440">
        <f t="shared" si="21"/>
        <v>0</v>
      </c>
      <c r="AL34" s="495">
        <f t="shared" si="21"/>
        <v>0</v>
      </c>
      <c r="AM34" s="478"/>
      <c r="AN34" s="477"/>
      <c r="AQ34" s="555">
        <v>27</v>
      </c>
    </row>
    <row r="35" spans="1:43" ht="15.75" thickTop="1">
      <c r="A35" s="484" t="s">
        <v>44</v>
      </c>
      <c r="B35" s="430"/>
      <c r="C35" s="510" t="s">
        <v>45</v>
      </c>
      <c r="D35" s="436"/>
      <c r="E35" s="477"/>
      <c r="F35" s="478"/>
      <c r="G35" s="563"/>
      <c r="H35" s="549"/>
      <c r="I35" s="546"/>
      <c r="J35" s="533"/>
      <c r="K35" s="533"/>
      <c r="L35" s="533"/>
      <c r="M35" s="533"/>
      <c r="N35" s="533"/>
      <c r="O35" s="533"/>
      <c r="P35" s="533"/>
      <c r="Q35" s="533"/>
      <c r="R35" s="533"/>
      <c r="S35" s="507"/>
      <c r="T35" s="533"/>
      <c r="U35" s="533"/>
      <c r="V35" s="533"/>
      <c r="W35" s="507"/>
      <c r="X35" s="507"/>
      <c r="Y35" s="507"/>
      <c r="Z35" s="533"/>
      <c r="AA35" s="533"/>
      <c r="AB35" s="533"/>
      <c r="AC35" s="533"/>
      <c r="AD35" s="533"/>
      <c r="AE35" s="533"/>
      <c r="AF35" s="533"/>
      <c r="AG35" s="533"/>
      <c r="AH35" s="533"/>
      <c r="AI35" s="507"/>
      <c r="AJ35" s="533"/>
      <c r="AK35" s="533"/>
      <c r="AL35" s="515"/>
      <c r="AM35" s="478"/>
      <c r="AN35" s="477"/>
      <c r="AQ35" s="555">
        <v>28</v>
      </c>
    </row>
    <row r="36" spans="1:43" ht="15">
      <c r="A36" s="480" t="s">
        <v>15</v>
      </c>
      <c r="B36" s="488"/>
      <c r="C36" s="472">
        <v>10</v>
      </c>
      <c r="E36" s="477"/>
      <c r="F36" s="478"/>
      <c r="G36" s="456" t="s">
        <v>28</v>
      </c>
      <c r="H36" s="558"/>
      <c r="I36" s="532">
        <f aca="true" t="shared" si="22" ref="I36:AL36">IF($C$23&lt;&gt;0,MAX((($C$23+1-I8)/$C$23),0),0)*($C$9*$C$10/100)*(IF(I8&gt;$C$34,0,$C$22))</f>
        <v>90675859.24000007</v>
      </c>
      <c r="J36" s="532">
        <f t="shared" si="22"/>
        <v>72540687.39200006</v>
      </c>
      <c r="K36" s="532">
        <f t="shared" si="22"/>
        <v>54405515.54400003</v>
      </c>
      <c r="L36" s="532">
        <f t="shared" si="22"/>
        <v>36270343.69600003</v>
      </c>
      <c r="M36" s="532">
        <f t="shared" si="22"/>
        <v>18135171.848000016</v>
      </c>
      <c r="N36" s="532">
        <f t="shared" si="22"/>
        <v>0</v>
      </c>
      <c r="O36" s="532">
        <f t="shared" si="22"/>
        <v>0</v>
      </c>
      <c r="P36" s="532">
        <f t="shared" si="22"/>
        <v>0</v>
      </c>
      <c r="Q36" s="532">
        <f t="shared" si="22"/>
        <v>0</v>
      </c>
      <c r="R36" s="532">
        <f t="shared" si="22"/>
        <v>0</v>
      </c>
      <c r="S36" s="532">
        <f t="shared" si="22"/>
        <v>0</v>
      </c>
      <c r="T36" s="532">
        <f t="shared" si="22"/>
        <v>0</v>
      </c>
      <c r="U36" s="532">
        <f t="shared" si="22"/>
        <v>0</v>
      </c>
      <c r="V36" s="532">
        <f t="shared" si="22"/>
        <v>0</v>
      </c>
      <c r="W36" s="532">
        <f t="shared" si="22"/>
        <v>0</v>
      </c>
      <c r="X36" s="532">
        <f t="shared" si="22"/>
        <v>0</v>
      </c>
      <c r="Y36" s="532">
        <f t="shared" si="22"/>
        <v>0</v>
      </c>
      <c r="Z36" s="532">
        <f t="shared" si="22"/>
        <v>0</v>
      </c>
      <c r="AA36" s="532">
        <f t="shared" si="22"/>
        <v>0</v>
      </c>
      <c r="AB36" s="532">
        <f t="shared" si="22"/>
        <v>0</v>
      </c>
      <c r="AC36" s="532">
        <f t="shared" si="22"/>
        <v>0</v>
      </c>
      <c r="AD36" s="532">
        <f t="shared" si="22"/>
        <v>0</v>
      </c>
      <c r="AE36" s="532">
        <f t="shared" si="22"/>
        <v>0</v>
      </c>
      <c r="AF36" s="532">
        <f t="shared" si="22"/>
        <v>0</v>
      </c>
      <c r="AG36" s="532">
        <f t="shared" si="22"/>
        <v>0</v>
      </c>
      <c r="AH36" s="532">
        <f t="shared" si="22"/>
        <v>0</v>
      </c>
      <c r="AI36" s="532">
        <f t="shared" si="22"/>
        <v>0</v>
      </c>
      <c r="AJ36" s="532">
        <f t="shared" si="22"/>
        <v>0</v>
      </c>
      <c r="AK36" s="532">
        <f t="shared" si="22"/>
        <v>0</v>
      </c>
      <c r="AL36" s="550">
        <f t="shared" si="22"/>
        <v>0</v>
      </c>
      <c r="AM36" s="478"/>
      <c r="AN36" s="477"/>
      <c r="AQ36" s="555">
        <v>29</v>
      </c>
    </row>
    <row r="37" spans="1:43" ht="15">
      <c r="A37" s="505" t="s">
        <v>4</v>
      </c>
      <c r="B37" s="518"/>
      <c r="C37" s="493"/>
      <c r="E37" s="477"/>
      <c r="F37" s="478"/>
      <c r="G37" s="601" t="s">
        <v>26</v>
      </c>
      <c r="H37" s="558"/>
      <c r="I37" s="532">
        <f>IF($C$25="NO",0,-I36*$C$32)</f>
        <v>-41137370.44070703</v>
      </c>
      <c r="J37" s="532">
        <f aca="true" t="shared" si="23" ref="J37:AL37">IF($C$25="NO",0,-J36*$C$32)</f>
        <v>-32909896.352565628</v>
      </c>
      <c r="K37" s="532">
        <f t="shared" si="23"/>
        <v>-24682422.264424212</v>
      </c>
      <c r="L37" s="532">
        <f t="shared" si="23"/>
        <v>-16454948.176282814</v>
      </c>
      <c r="M37" s="532">
        <f>IF($C$25="NO",0,-M36*$C$32)</f>
        <v>-8227474.088141407</v>
      </c>
      <c r="N37" s="532">
        <f t="shared" si="23"/>
        <v>0</v>
      </c>
      <c r="O37" s="532">
        <f t="shared" si="23"/>
        <v>0</v>
      </c>
      <c r="P37" s="532">
        <f t="shared" si="23"/>
        <v>0</v>
      </c>
      <c r="Q37" s="532">
        <f t="shared" si="23"/>
        <v>0</v>
      </c>
      <c r="R37" s="532">
        <f t="shared" si="23"/>
        <v>0</v>
      </c>
      <c r="S37" s="532">
        <f t="shared" si="23"/>
        <v>0</v>
      </c>
      <c r="T37" s="532">
        <f t="shared" si="23"/>
        <v>0</v>
      </c>
      <c r="U37" s="532">
        <f t="shared" si="23"/>
        <v>0</v>
      </c>
      <c r="V37" s="532">
        <f t="shared" si="23"/>
        <v>0</v>
      </c>
      <c r="W37" s="532">
        <f t="shared" si="23"/>
        <v>0</v>
      </c>
      <c r="X37" s="532">
        <f t="shared" si="23"/>
        <v>0</v>
      </c>
      <c r="Y37" s="532">
        <f t="shared" si="23"/>
        <v>0</v>
      </c>
      <c r="Z37" s="532">
        <f t="shared" si="23"/>
        <v>0</v>
      </c>
      <c r="AA37" s="532">
        <f t="shared" si="23"/>
        <v>0</v>
      </c>
      <c r="AB37" s="532">
        <f t="shared" si="23"/>
        <v>0</v>
      </c>
      <c r="AC37" s="532">
        <f t="shared" si="23"/>
        <v>0</v>
      </c>
      <c r="AD37" s="532">
        <f t="shared" si="23"/>
        <v>0</v>
      </c>
      <c r="AE37" s="532">
        <f t="shared" si="23"/>
        <v>0</v>
      </c>
      <c r="AF37" s="532">
        <f t="shared" si="23"/>
        <v>0</v>
      </c>
      <c r="AG37" s="532">
        <f t="shared" si="23"/>
        <v>0</v>
      </c>
      <c r="AH37" s="532">
        <f t="shared" si="23"/>
        <v>0</v>
      </c>
      <c r="AI37" s="532">
        <f t="shared" si="23"/>
        <v>0</v>
      </c>
      <c r="AJ37" s="532">
        <f t="shared" si="23"/>
        <v>0</v>
      </c>
      <c r="AK37" s="532">
        <f t="shared" si="23"/>
        <v>0</v>
      </c>
      <c r="AL37" s="550">
        <f t="shared" si="23"/>
        <v>0</v>
      </c>
      <c r="AM37" s="478"/>
      <c r="AN37" s="477"/>
      <c r="AQ37" s="555">
        <v>30</v>
      </c>
    </row>
    <row r="38" spans="1:40" ht="15.75" thickBot="1">
      <c r="A38" s="484" t="s">
        <v>5</v>
      </c>
      <c r="B38" s="540" t="s">
        <v>89</v>
      </c>
      <c r="C38" s="577">
        <f>2%*C8</f>
        <v>11000000</v>
      </c>
      <c r="D38" s="435"/>
      <c r="E38" s="477"/>
      <c r="F38" s="478"/>
      <c r="G38" s="457" t="s">
        <v>41</v>
      </c>
      <c r="H38" s="548"/>
      <c r="I38" s="441">
        <f>I36+I34+I37</f>
        <v>49489090.11398545</v>
      </c>
      <c r="J38" s="442">
        <f aca="true" t="shared" si="24" ref="J38:AL38">J36+J34+J37</f>
        <v>40110327.31495564</v>
      </c>
      <c r="K38" s="442">
        <f t="shared" si="24"/>
        <v>30745511.624788053</v>
      </c>
      <c r="L38" s="442">
        <f t="shared" si="24"/>
        <v>21395012.755844288</v>
      </c>
      <c r="M38" s="442">
        <f t="shared" si="24"/>
        <v>12059210.26114991</v>
      </c>
      <c r="N38" s="442">
        <f>N36+N34+N37</f>
        <v>2738493.7971250303</v>
      </c>
      <c r="O38" s="442">
        <f t="shared" si="24"/>
        <v>3282026.730363045</v>
      </c>
      <c r="P38" s="442">
        <f t="shared" si="24"/>
        <v>3838443.97053067</v>
      </c>
      <c r="Q38" s="442">
        <f t="shared" si="24"/>
        <v>4408051.6464740075</v>
      </c>
      <c r="R38" s="442">
        <f t="shared" si="24"/>
        <v>4991163.1782050915</v>
      </c>
      <c r="S38" s="511">
        <f t="shared" si="24"/>
        <v>5588099.450993206</v>
      </c>
      <c r="T38" s="442">
        <f t="shared" si="24"/>
        <v>4547504.763931032</v>
      </c>
      <c r="U38" s="442">
        <f t="shared" si="24"/>
        <v>5054044.607273651</v>
      </c>
      <c r="V38" s="442">
        <f t="shared" si="24"/>
        <v>5570970.933804816</v>
      </c>
      <c r="W38" s="511">
        <f t="shared" si="24"/>
        <v>6098443.517436119</v>
      </c>
      <c r="X38" s="511">
        <f t="shared" si="24"/>
        <v>6636621.271075662</v>
      </c>
      <c r="Y38" s="511">
        <f t="shared" si="24"/>
        <v>7185661.975909244</v>
      </c>
      <c r="Z38" s="442">
        <f t="shared" si="24"/>
        <v>7745721.990793122</v>
      </c>
      <c r="AA38" s="442">
        <f t="shared" si="24"/>
        <v>6622698.114908129</v>
      </c>
      <c r="AB38" s="442">
        <f t="shared" si="24"/>
        <v>-350547.83481658436</v>
      </c>
      <c r="AC38" s="442">
        <f t="shared" si="24"/>
        <v>-298587.2369461395</v>
      </c>
      <c r="AD38" s="442">
        <f t="shared" si="24"/>
        <v>-256194.82000599615</v>
      </c>
      <c r="AE38" s="442">
        <f t="shared" si="24"/>
        <v>-224177.02511899173</v>
      </c>
      <c r="AF38" s="442">
        <f t="shared" si="24"/>
        <v>-203390.54408432916</v>
      </c>
      <c r="AG38" s="442">
        <f t="shared" si="24"/>
        <v>-194745.1830459796</v>
      </c>
      <c r="AH38" s="442">
        <f t="shared" si="24"/>
        <v>0</v>
      </c>
      <c r="AI38" s="511">
        <f t="shared" si="24"/>
        <v>0</v>
      </c>
      <c r="AJ38" s="442">
        <f t="shared" si="24"/>
        <v>0</v>
      </c>
      <c r="AK38" s="442">
        <f t="shared" si="24"/>
        <v>0</v>
      </c>
      <c r="AL38" s="508">
        <f t="shared" si="24"/>
        <v>0</v>
      </c>
      <c r="AM38" s="478"/>
      <c r="AN38" s="477"/>
    </row>
    <row r="39" spans="1:40" ht="15.75" thickTop="1">
      <c r="A39" s="484" t="s">
        <v>6</v>
      </c>
      <c r="B39" s="540" t="s">
        <v>89</v>
      </c>
      <c r="C39" s="577">
        <v>0</v>
      </c>
      <c r="D39" s="435"/>
      <c r="E39" s="477"/>
      <c r="F39" s="478"/>
      <c r="G39" s="563"/>
      <c r="H39" s="549"/>
      <c r="I39" s="547"/>
      <c r="J39" s="532"/>
      <c r="K39" s="532"/>
      <c r="L39" s="532"/>
      <c r="M39" s="532"/>
      <c r="N39" s="532"/>
      <c r="O39" s="532"/>
      <c r="P39" s="532"/>
      <c r="Q39" s="532"/>
      <c r="R39" s="532"/>
      <c r="S39" s="500"/>
      <c r="T39" s="532"/>
      <c r="U39" s="532"/>
      <c r="V39" s="532"/>
      <c r="W39" s="500"/>
      <c r="X39" s="500"/>
      <c r="Y39" s="500"/>
      <c r="Z39" s="532"/>
      <c r="AA39" s="532"/>
      <c r="AB39" s="532"/>
      <c r="AC39" s="532"/>
      <c r="AD39" s="532"/>
      <c r="AE39" s="532"/>
      <c r="AF39" s="532"/>
      <c r="AG39" s="532"/>
      <c r="AH39" s="532"/>
      <c r="AI39" s="500"/>
      <c r="AJ39" s="532"/>
      <c r="AK39" s="532"/>
      <c r="AL39" s="550"/>
      <c r="AM39" s="478"/>
      <c r="AN39" s="477"/>
    </row>
    <row r="40" spans="1:43" ht="15.75" thickBot="1">
      <c r="A40" s="484" t="s">
        <v>7</v>
      </c>
      <c r="B40" s="540" t="s">
        <v>89</v>
      </c>
      <c r="C40" s="577">
        <v>0</v>
      </c>
      <c r="D40" s="435"/>
      <c r="E40" s="477"/>
      <c r="F40" s="478"/>
      <c r="G40" s="456" t="s">
        <v>38</v>
      </c>
      <c r="H40" s="559"/>
      <c r="I40" s="437">
        <f aca="true" t="shared" si="25" ref="I40:AL40">IF(I8&gt;$C$34,0,(I34)/(1+$C$30)^(I8-0.5))</f>
        <v>-47330.559569891484</v>
      </c>
      <c r="J40" s="437">
        <f t="shared" si="25"/>
        <v>421793.8181720941</v>
      </c>
      <c r="K40" s="437">
        <f t="shared" si="25"/>
        <v>825581.3513531022</v>
      </c>
      <c r="L40" s="437">
        <f t="shared" si="25"/>
        <v>1170942.5862083773</v>
      </c>
      <c r="M40" s="437">
        <f t="shared" si="25"/>
        <v>1464131.5781729254</v>
      </c>
      <c r="N40" s="437">
        <f t="shared" si="25"/>
        <v>1710804.9240676293</v>
      </c>
      <c r="O40" s="437">
        <f t="shared" si="25"/>
        <v>1882276.1535385186</v>
      </c>
      <c r="P40" s="437">
        <f t="shared" si="25"/>
        <v>2020919.0994762464</v>
      </c>
      <c r="Q40" s="437">
        <f t="shared" si="25"/>
        <v>2130555.7036160855</v>
      </c>
      <c r="R40" s="437">
        <f t="shared" si="25"/>
        <v>2214626.4583225413</v>
      </c>
      <c r="S40" s="437">
        <f t="shared" si="25"/>
        <v>2276225.783796558</v>
      </c>
      <c r="T40" s="437">
        <f t="shared" si="25"/>
        <v>1700500.9188073813</v>
      </c>
      <c r="U40" s="437">
        <f t="shared" si="25"/>
        <v>1734983.2058580741</v>
      </c>
      <c r="V40" s="437">
        <f t="shared" si="25"/>
        <v>1755656.6810716616</v>
      </c>
      <c r="W40" s="437">
        <f t="shared" si="25"/>
        <v>1764331.5615828275</v>
      </c>
      <c r="X40" s="437">
        <f t="shared" si="25"/>
        <v>1762628.2581150054</v>
      </c>
      <c r="Y40" s="437">
        <f t="shared" si="25"/>
        <v>1751995.4484182047</v>
      </c>
      <c r="Z40" s="437">
        <f t="shared" si="25"/>
        <v>1733726.5169695723</v>
      </c>
      <c r="AA40" s="437">
        <f t="shared" si="25"/>
        <v>1360837.1028228188</v>
      </c>
      <c r="AB40" s="437">
        <f t="shared" si="25"/>
        <v>-66125.8044056628</v>
      </c>
      <c r="AC40" s="437">
        <f t="shared" si="25"/>
        <v>-51706.77074023353</v>
      </c>
      <c r="AD40" s="437">
        <f t="shared" si="25"/>
        <v>-40728.55634085597</v>
      </c>
      <c r="AE40" s="437">
        <f t="shared" si="25"/>
        <v>-32716.909294506393</v>
      </c>
      <c r="AF40" s="437">
        <f t="shared" si="25"/>
        <v>-27249.86924572462</v>
      </c>
      <c r="AG40" s="437">
        <f t="shared" si="25"/>
        <v>-23952.61231976406</v>
      </c>
      <c r="AH40" s="437">
        <f t="shared" si="25"/>
        <v>0</v>
      </c>
      <c r="AI40" s="437">
        <f t="shared" si="25"/>
        <v>0</v>
      </c>
      <c r="AJ40" s="437">
        <f t="shared" si="25"/>
        <v>0</v>
      </c>
      <c r="AK40" s="437">
        <f t="shared" si="25"/>
        <v>0</v>
      </c>
      <c r="AL40" s="509">
        <f t="shared" si="25"/>
        <v>0</v>
      </c>
      <c r="AM40" s="478"/>
      <c r="AN40" s="477"/>
      <c r="AQ40" s="555" t="s">
        <v>99</v>
      </c>
    </row>
    <row r="41" spans="1:43" ht="16.5" thickBot="1" thickTop="1">
      <c r="A41" s="484" t="s">
        <v>142</v>
      </c>
      <c r="B41" s="540" t="s">
        <v>89</v>
      </c>
      <c r="C41" s="577">
        <v>0</v>
      </c>
      <c r="E41" s="477"/>
      <c r="F41" s="478"/>
      <c r="G41" s="456" t="s">
        <v>39</v>
      </c>
      <c r="H41" s="559"/>
      <c r="I41" s="437">
        <f aca="true" t="shared" si="26" ref="I41:AL41">IF(I8&gt;$C$34,0,(I38)/(1+$C$30)^(I8-0.5))</f>
        <v>47417179.48796742</v>
      </c>
      <c r="J41" s="437">
        <f t="shared" si="26"/>
        <v>35280517.804245576</v>
      </c>
      <c r="K41" s="437">
        <f t="shared" si="26"/>
        <v>24826355.23325443</v>
      </c>
      <c r="L41" s="437">
        <f t="shared" si="26"/>
        <v>15859748.168938158</v>
      </c>
      <c r="M41" s="437">
        <f t="shared" si="26"/>
        <v>8206445.716945433</v>
      </c>
      <c r="N41" s="437">
        <f t="shared" si="26"/>
        <v>1710804.9240676293</v>
      </c>
      <c r="O41" s="437">
        <f t="shared" si="26"/>
        <v>1882276.1535385186</v>
      </c>
      <c r="P41" s="437">
        <f t="shared" si="26"/>
        <v>2020919.0994762464</v>
      </c>
      <c r="Q41" s="437">
        <f t="shared" si="26"/>
        <v>2130555.7036160855</v>
      </c>
      <c r="R41" s="437">
        <f t="shared" si="26"/>
        <v>2214626.4583225413</v>
      </c>
      <c r="S41" s="437">
        <f t="shared" si="26"/>
        <v>2276225.783796558</v>
      </c>
      <c r="T41" s="437">
        <f t="shared" si="26"/>
        <v>1700500.9188073813</v>
      </c>
      <c r="U41" s="437">
        <f t="shared" si="26"/>
        <v>1734983.2058580741</v>
      </c>
      <c r="V41" s="437">
        <f t="shared" si="26"/>
        <v>1755656.6810716616</v>
      </c>
      <c r="W41" s="437">
        <f t="shared" si="26"/>
        <v>1764331.5615828275</v>
      </c>
      <c r="X41" s="437">
        <f t="shared" si="26"/>
        <v>1762628.2581150054</v>
      </c>
      <c r="Y41" s="437">
        <f t="shared" si="26"/>
        <v>1751995.4484182047</v>
      </c>
      <c r="Z41" s="437">
        <f t="shared" si="26"/>
        <v>1733726.5169695723</v>
      </c>
      <c r="AA41" s="437">
        <f t="shared" si="26"/>
        <v>1360837.1028228188</v>
      </c>
      <c r="AB41" s="437">
        <f t="shared" si="26"/>
        <v>-66125.8044056628</v>
      </c>
      <c r="AC41" s="437">
        <f t="shared" si="26"/>
        <v>-51706.77074023353</v>
      </c>
      <c r="AD41" s="437">
        <f t="shared" si="26"/>
        <v>-40728.55634085597</v>
      </c>
      <c r="AE41" s="437">
        <f t="shared" si="26"/>
        <v>-32716.909294506393</v>
      </c>
      <c r="AF41" s="437">
        <f t="shared" si="26"/>
        <v>-27249.86924572462</v>
      </c>
      <c r="AG41" s="437">
        <f t="shared" si="26"/>
        <v>-23952.61231976406</v>
      </c>
      <c r="AH41" s="437">
        <f t="shared" si="26"/>
        <v>0</v>
      </c>
      <c r="AI41" s="437">
        <f t="shared" si="26"/>
        <v>0</v>
      </c>
      <c r="AJ41" s="437">
        <f t="shared" si="26"/>
        <v>0</v>
      </c>
      <c r="AK41" s="437">
        <f t="shared" si="26"/>
        <v>0</v>
      </c>
      <c r="AL41" s="509">
        <f t="shared" si="26"/>
        <v>0</v>
      </c>
      <c r="AM41" s="478"/>
      <c r="AN41" s="477"/>
      <c r="AQ41" s="582">
        <f>'ICAP Price&amp;Impact'!N50</f>
        <v>-0.013191</v>
      </c>
    </row>
    <row r="42" spans="1:40" ht="16.5" thickBot="1" thickTop="1">
      <c r="A42" s="505" t="s">
        <v>35</v>
      </c>
      <c r="B42" s="585"/>
      <c r="C42" s="429"/>
      <c r="E42" s="477"/>
      <c r="F42" s="478"/>
      <c r="G42" s="458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89"/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69"/>
      <c r="AM42" s="478"/>
      <c r="AN42" s="477"/>
    </row>
    <row r="43" spans="1:40" ht="15.75" thickBot="1">
      <c r="A43" s="484" t="s">
        <v>90</v>
      </c>
      <c r="B43" s="529"/>
      <c r="C43" s="603">
        <f>((1+C29)/(1+C$31))-1</f>
        <v>0.030009775171065733</v>
      </c>
      <c r="D43" s="544"/>
      <c r="E43" s="477"/>
      <c r="F43" s="478"/>
      <c r="G43" s="497" t="s">
        <v>24</v>
      </c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3"/>
      <c r="AM43" s="478"/>
      <c r="AN43" s="477"/>
    </row>
    <row r="44" spans="1:40" ht="15">
      <c r="A44" s="484" t="s">
        <v>91</v>
      </c>
      <c r="B44" s="529"/>
      <c r="C44" s="603">
        <f>((1+C30)/(1+C$31))-1</f>
        <v>0.064809384164223</v>
      </c>
      <c r="E44" s="477"/>
      <c r="F44" s="478"/>
      <c r="G44" s="463" t="s">
        <v>43</v>
      </c>
      <c r="H44" s="565"/>
      <c r="I44" s="526">
        <f>IF($C$35="MACRS",VLOOKUP($C$36,'Depreciation Tables'!$B$35:$AF$40,I8+1),IF($C$35="StraightLine",VLOOKUP($C$36,'Depreciation Tables'!$B$3:$AF$32,I8+1),VLOOKUP($C$36,'Depreciation Tables'!$B$43:$AF$44,I8+1)))</f>
        <v>0.1</v>
      </c>
      <c r="J44" s="526">
        <f>IF($C$35="MACRS",VLOOKUP($C$36,'Depreciation Tables'!$B$35:$AF$40,J8+1),IF($C$35="StraightLine",VLOOKUP($C$36,'Depreciation Tables'!$B$3:$AF$32,J8+1),VLOOKUP($C$36,'Depreciation Tables'!$B$43:$AF$44,J8+1)))</f>
        <v>0.18</v>
      </c>
      <c r="K44" s="526">
        <f>IF($C$35="MACRS",VLOOKUP($C$36,'Depreciation Tables'!$B$35:$AF$40,K8+1),IF($C$35="StraightLine",VLOOKUP($C$36,'Depreciation Tables'!$B$3:$AF$32,K8+1),VLOOKUP($C$36,'Depreciation Tables'!$B$43:$AF$44,K8+1)))</f>
        <v>0.144</v>
      </c>
      <c r="L44" s="526">
        <f>IF($C$35="MACRS",VLOOKUP($C$36,'Depreciation Tables'!$B$35:$AF$40,L8+1),IF($C$35="StraightLine",VLOOKUP($C$36,'Depreciation Tables'!$B$3:$AF$32,L8+1),VLOOKUP($C$36,'Depreciation Tables'!$B$43:$AF$44,L8+1)))</f>
        <v>0.1152</v>
      </c>
      <c r="M44" s="526">
        <f>IF($C$35="MACRS",VLOOKUP($C$36,'Depreciation Tables'!$B$35:$AF$40,M8+1),IF($C$35="StraightLine",VLOOKUP($C$36,'Depreciation Tables'!$B$3:$AF$32,M8+1),VLOOKUP($C$36,'Depreciation Tables'!$B$43:$AF$44,M8+1)))</f>
        <v>0.0922</v>
      </c>
      <c r="N44" s="526">
        <f>IF($C$35="MACRS",VLOOKUP($C$36,'Depreciation Tables'!$B$35:$AF$40,N8+1),IF($C$35="StraightLine",VLOOKUP($C$36,'Depreciation Tables'!$B$3:$AF$32,N8+1),VLOOKUP($C$36,'Depreciation Tables'!$B$43:$AF$44,N8+1)))</f>
        <v>0.0737</v>
      </c>
      <c r="O44" s="526">
        <f>IF($C$35="MACRS",VLOOKUP($C$36,'Depreciation Tables'!$B$35:$AF$40,O8+1),IF($C$35="StraightLine",VLOOKUP($C$36,'Depreciation Tables'!$B$3:$AF$32,O8+1),VLOOKUP($C$36,'Depreciation Tables'!$B$43:$AF$44,O8+1)))</f>
        <v>0.0655</v>
      </c>
      <c r="P44" s="526">
        <f>IF($C$35="MACRS",VLOOKUP($C$36,'Depreciation Tables'!$B$35:$AF$40,P8+1),IF($C$35="StraightLine",VLOOKUP($C$36,'Depreciation Tables'!$B$3:$AF$32,P8+1),VLOOKUP($C$36,'Depreciation Tables'!$B$43:$AF$44,P8+1)))</f>
        <v>0.0655</v>
      </c>
      <c r="Q44" s="526">
        <f>IF($C$35="MACRS",VLOOKUP($C$36,'Depreciation Tables'!$B$35:$AF$40,Q8+1),IF($C$35="StraightLine",VLOOKUP($C$36,'Depreciation Tables'!$B$3:$AF$32,Q8+1),VLOOKUP($C$36,'Depreciation Tables'!$B$43:$AF$44,Q8+1)))</f>
        <v>0.0656</v>
      </c>
      <c r="R44" s="526">
        <f>IF($C$35="MACRS",VLOOKUP($C$36,'Depreciation Tables'!$B$35:$AF$40,R8+1),IF($C$35="StraightLine",VLOOKUP($C$36,'Depreciation Tables'!$B$3:$AF$32,R8+1),VLOOKUP($C$36,'Depreciation Tables'!$B$43:$AF$44,R8+1)))</f>
        <v>0.0655</v>
      </c>
      <c r="S44" s="526">
        <f>IF($C$35="MACRS",VLOOKUP($C$36,'Depreciation Tables'!$B$35:$AF$40,S8+1),IF($C$35="StraightLine",VLOOKUP($C$36,'Depreciation Tables'!$B$3:$AF$32,S8+1),VLOOKUP($C$36,'Depreciation Tables'!$B$43:$AF$44,S8+1)))</f>
        <v>0.0328</v>
      </c>
      <c r="T44" s="526">
        <f>IF($C$35="MACRS",VLOOKUP($C$36,'Depreciation Tables'!$B$35:$AF$40,T8+1),IF($C$35="StraightLine",VLOOKUP($C$36,'Depreciation Tables'!$B$3:$AF$32,T8+1),VLOOKUP($C$36,'Depreciation Tables'!$B$43:$AF$44,T8+1)))</f>
        <v>0</v>
      </c>
      <c r="U44" s="526">
        <f>IF($C$35="MACRS",VLOOKUP($C$36,'Depreciation Tables'!$B$35:$AF$40,U8+1),IF($C$35="StraightLine",VLOOKUP($C$36,'Depreciation Tables'!$B$3:$AF$32,U8+1),VLOOKUP($C$36,'Depreciation Tables'!$B$43:$AF$44,U8+1)))</f>
        <v>0</v>
      </c>
      <c r="V44" s="526">
        <f>IF($C$35="MACRS",VLOOKUP($C$36,'Depreciation Tables'!$B$35:$AF$40,V8+1),IF($C$35="StraightLine",VLOOKUP($C$36,'Depreciation Tables'!$B$3:$AF$32,V8+1),VLOOKUP($C$36,'Depreciation Tables'!$B$43:$AF$44,V8+1)))</f>
        <v>0</v>
      </c>
      <c r="W44" s="526">
        <f>IF($C$35="MACRS",VLOOKUP($C$36,'Depreciation Tables'!$B$35:$AF$40,W8+1),IF($C$35="StraightLine",VLOOKUP($C$36,'Depreciation Tables'!$B$3:$AF$32,W8+1),VLOOKUP($C$36,'Depreciation Tables'!$B$43:$AF$44,W8+1)))</f>
        <v>0</v>
      </c>
      <c r="X44" s="526">
        <f>IF($C$35="MACRS",VLOOKUP($C$36,'Depreciation Tables'!$B$35:$AF$40,X8+1),IF($C$35="StraightLine",VLOOKUP($C$36,'Depreciation Tables'!$B$3:$AF$32,X8+1),VLOOKUP($C$36,'Depreciation Tables'!$B$43:$AF$44,X8+1)))</f>
        <v>0</v>
      </c>
      <c r="Y44" s="526">
        <f>IF($C$35="MACRS",VLOOKUP($C$36,'Depreciation Tables'!$B$35:$AF$40,Y8+1),IF($C$35="StraightLine",VLOOKUP($C$36,'Depreciation Tables'!$B$3:$AF$32,Y8+1),VLOOKUP($C$36,'Depreciation Tables'!$B$43:$AF$44,Y8+1)))</f>
        <v>0</v>
      </c>
      <c r="Z44" s="526">
        <f>IF($C$35="MACRS",VLOOKUP($C$36,'Depreciation Tables'!$B$35:$AF$40,Z8+1),IF($C$35="StraightLine",VLOOKUP($C$36,'Depreciation Tables'!$B$3:$AF$32,Z8+1),VLOOKUP($C$36,'Depreciation Tables'!$B$43:$AF$44,Z8+1)))</f>
        <v>0</v>
      </c>
      <c r="AA44" s="526">
        <f>IF($C$35="MACRS",VLOOKUP($C$36,'Depreciation Tables'!$B$35:$AF$40,AA8+1),IF($C$35="StraightLine",VLOOKUP($C$36,'Depreciation Tables'!$B$3:$AF$32,AA8+1),VLOOKUP($C$36,'Depreciation Tables'!$B$43:$AF$44,AA8+1)))</f>
        <v>0</v>
      </c>
      <c r="AB44" s="526">
        <f>IF($C$35="MACRS",VLOOKUP($C$36,'Depreciation Tables'!$B$35:$AF$40,AB8+1),IF($C$35="StraightLine",VLOOKUP($C$36,'Depreciation Tables'!$B$3:$AF$32,AB8+1),VLOOKUP($C$36,'Depreciation Tables'!$B$43:$AF$44,AB8+1)))</f>
        <v>0</v>
      </c>
      <c r="AC44" s="526">
        <f>IF($C$35="MACRS",VLOOKUP($C$36,'Depreciation Tables'!$B$35:$AF$40,AC8+1),IF($C$35="StraightLine",VLOOKUP($C$36,'Depreciation Tables'!$B$3:$AF$32,AC8+1),VLOOKUP($C$36,'Depreciation Tables'!$B$43:$AF$44,AC8+1)))</f>
        <v>0</v>
      </c>
      <c r="AD44" s="526">
        <f>IF($C$35="MACRS",VLOOKUP($C$36,'Depreciation Tables'!$B$35:$AF$40,AD8+1),IF($C$35="StraightLine",VLOOKUP($C$36,'Depreciation Tables'!$B$3:$AF$32,AD8+1),VLOOKUP($C$36,'Depreciation Tables'!$B$43:$AF$44,AD8+1)))</f>
        <v>0</v>
      </c>
      <c r="AE44" s="526">
        <f>IF($C$35="MACRS",VLOOKUP($C$36,'Depreciation Tables'!$B$35:$AF$40,AE8+1),IF($C$35="StraightLine",VLOOKUP($C$36,'Depreciation Tables'!$B$3:$AF$32,AE8+1),VLOOKUP($C$36,'Depreciation Tables'!$B$43:$AF$44,AE8+1)))</f>
        <v>0</v>
      </c>
      <c r="AF44" s="526">
        <f>IF($C$35="MACRS",VLOOKUP($C$36,'Depreciation Tables'!$B$35:$AF$40,AF8+1),IF($C$35="StraightLine",VLOOKUP($C$36,'Depreciation Tables'!$B$3:$AF$32,AF8+1),VLOOKUP($C$36,'Depreciation Tables'!$B$43:$AF$44,AF8+1)))</f>
        <v>0</v>
      </c>
      <c r="AG44" s="526">
        <f>IF($C$35="MACRS",VLOOKUP($C$36,'Depreciation Tables'!$B$35:$AF$40,AG8+1),IF($C$35="StraightLine",VLOOKUP($C$36,'Depreciation Tables'!$B$3:$AF$32,AG8+1),VLOOKUP($C$36,'Depreciation Tables'!$B$43:$AF$44,AG8+1)))</f>
        <v>0</v>
      </c>
      <c r="AH44" s="526">
        <f>IF($C$35="MACRS",VLOOKUP($C$36,'Depreciation Tables'!$B$35:$AF$40,AH8+1),IF($C$35="StraightLine",VLOOKUP($C$36,'Depreciation Tables'!$B$3:$AF$32,AH8+1),VLOOKUP($C$36,'Depreciation Tables'!$B$43:$AF$44,AH8+1)))</f>
        <v>0</v>
      </c>
      <c r="AI44" s="526">
        <f>IF($C$35="MACRS",VLOOKUP($C$36,'Depreciation Tables'!$B$35:$AF$40,AI8+1),IF($C$35="StraightLine",VLOOKUP($C$36,'Depreciation Tables'!$B$3:$AF$32,AI8+1),VLOOKUP($C$36,'Depreciation Tables'!$B$43:$AF$44,AI8+1)))</f>
        <v>0</v>
      </c>
      <c r="AJ44" s="526">
        <f>IF($C$35="MACRS",VLOOKUP($C$36,'Depreciation Tables'!$B$35:$AF$40,AJ8+1),IF($C$35="StraightLine",VLOOKUP($C$36,'Depreciation Tables'!$B$3:$AF$32,AJ8+1),VLOOKUP($C$36,'Depreciation Tables'!$B$43:$AF$44,AJ8+1)))</f>
        <v>0</v>
      </c>
      <c r="AK44" s="526">
        <f>IF($C$35="MACRS",VLOOKUP($C$36,'Depreciation Tables'!$B$35:$AF$40,AK8+1),IF($C$35="StraightLine",VLOOKUP($C$36,'Depreciation Tables'!$B$3:$AF$32,AK8+1),VLOOKUP($C$36,'Depreciation Tables'!$B$43:$AF$44,AK8+1)))</f>
        <v>0</v>
      </c>
      <c r="AL44" s="527">
        <f>IF($C$35="MACRS",VLOOKUP($C$36,'Depreciation Tables'!$B$35:$AF$40,AL8+1),IF($C$35="StraightLine",VLOOKUP($C$36,'Depreciation Tables'!$B$3:$AF$32,AL8+1),VLOOKUP($C$36,'Depreciation Tables'!$B$43:$AF$44,AL8+1)))</f>
        <v>0</v>
      </c>
      <c r="AM44" s="478"/>
      <c r="AN44" s="477"/>
    </row>
    <row r="45" spans="1:40" ht="15">
      <c r="A45" s="484" t="s">
        <v>92</v>
      </c>
      <c r="B45" s="529"/>
      <c r="C45" s="603">
        <f>C27*C43+C28*C44</f>
        <v>0.047409579667644364</v>
      </c>
      <c r="D45" s="544"/>
      <c r="E45" s="477"/>
      <c r="F45" s="478"/>
      <c r="G45" s="561" t="s">
        <v>30</v>
      </c>
      <c r="H45" s="538"/>
      <c r="I45" s="554">
        <f>C8</f>
        <v>550000000</v>
      </c>
      <c r="J45" s="554">
        <f>I47</f>
        <v>495000000</v>
      </c>
      <c r="K45" s="554">
        <f aca="true" t="shared" si="27" ref="K45:R45">J47</f>
        <v>396000000</v>
      </c>
      <c r="L45" s="554">
        <f t="shared" si="27"/>
        <v>316800000</v>
      </c>
      <c r="M45" s="554">
        <f t="shared" si="27"/>
        <v>253440000</v>
      </c>
      <c r="N45" s="554">
        <f t="shared" si="27"/>
        <v>202730000</v>
      </c>
      <c r="O45" s="554">
        <f t="shared" si="27"/>
        <v>162195000</v>
      </c>
      <c r="P45" s="554">
        <f t="shared" si="27"/>
        <v>126170000</v>
      </c>
      <c r="Q45" s="554">
        <f t="shared" si="27"/>
        <v>90145000</v>
      </c>
      <c r="R45" s="554">
        <f t="shared" si="27"/>
        <v>54065000</v>
      </c>
      <c r="S45" s="554">
        <f>R47</f>
        <v>18040000</v>
      </c>
      <c r="T45" s="554">
        <f>S47</f>
        <v>0</v>
      </c>
      <c r="U45" s="554">
        <f>T47</f>
        <v>0</v>
      </c>
      <c r="V45" s="554">
        <f>U47</f>
        <v>0</v>
      </c>
      <c r="W45" s="554">
        <f>V47</f>
        <v>0</v>
      </c>
      <c r="X45" s="554">
        <f>W47</f>
        <v>0</v>
      </c>
      <c r="Y45" s="554">
        <f>X47</f>
        <v>0</v>
      </c>
      <c r="Z45" s="554">
        <f aca="true" t="shared" si="28" ref="Z45:AG45">Y47</f>
        <v>0</v>
      </c>
      <c r="AA45" s="554">
        <f t="shared" si="28"/>
        <v>0</v>
      </c>
      <c r="AB45" s="554">
        <f t="shared" si="28"/>
        <v>0</v>
      </c>
      <c r="AC45" s="554">
        <f t="shared" si="28"/>
        <v>0</v>
      </c>
      <c r="AD45" s="554">
        <f t="shared" si="28"/>
        <v>0</v>
      </c>
      <c r="AE45" s="554">
        <f t="shared" si="28"/>
        <v>0</v>
      </c>
      <c r="AF45" s="554">
        <f t="shared" si="28"/>
        <v>0</v>
      </c>
      <c r="AG45" s="554">
        <f t="shared" si="28"/>
        <v>0</v>
      </c>
      <c r="AH45" s="554">
        <f>AG47</f>
        <v>0</v>
      </c>
      <c r="AI45" s="554">
        <f>AH47</f>
        <v>0</v>
      </c>
      <c r="AJ45" s="554">
        <f>AI47</f>
        <v>0</v>
      </c>
      <c r="AK45" s="554">
        <f>AJ47</f>
        <v>0</v>
      </c>
      <c r="AL45" s="567">
        <f>AK47</f>
        <v>0</v>
      </c>
      <c r="AM45" s="478"/>
      <c r="AN45" s="477"/>
    </row>
    <row r="46" spans="1:45" ht="15">
      <c r="A46" s="484" t="s">
        <v>36</v>
      </c>
      <c r="B46" s="540"/>
      <c r="C46" s="532">
        <f>PMT(C29,C34,(C27*C8))</f>
        <v>-20241731.485307593</v>
      </c>
      <c r="E46" s="477"/>
      <c r="F46" s="478"/>
      <c r="G46" s="561" t="s">
        <v>29</v>
      </c>
      <c r="H46" s="538"/>
      <c r="I46" s="547">
        <f>-MIN($I$45*I44,I45)</f>
        <v>-55000000</v>
      </c>
      <c r="J46" s="547">
        <f aca="true" t="shared" si="29" ref="J46:AL46">-MIN($I$45*J44,J45)</f>
        <v>-99000000</v>
      </c>
      <c r="K46" s="547">
        <f t="shared" si="29"/>
        <v>-79200000</v>
      </c>
      <c r="L46" s="547">
        <f t="shared" si="29"/>
        <v>-63360000</v>
      </c>
      <c r="M46" s="547">
        <f t="shared" si="29"/>
        <v>-50710000</v>
      </c>
      <c r="N46" s="547">
        <f t="shared" si="29"/>
        <v>-40535000</v>
      </c>
      <c r="O46" s="547">
        <f t="shared" si="29"/>
        <v>-36025000</v>
      </c>
      <c r="P46" s="547">
        <f t="shared" si="29"/>
        <v>-36025000</v>
      </c>
      <c r="Q46" s="547">
        <f t="shared" si="29"/>
        <v>-36080000</v>
      </c>
      <c r="R46" s="448">
        <f t="shared" si="29"/>
        <v>-36025000</v>
      </c>
      <c r="S46" s="448">
        <f t="shared" si="29"/>
        <v>-18040000</v>
      </c>
      <c r="T46" s="448">
        <f t="shared" si="29"/>
        <v>0</v>
      </c>
      <c r="U46" s="448">
        <f t="shared" si="29"/>
        <v>0</v>
      </c>
      <c r="V46" s="448">
        <f t="shared" si="29"/>
        <v>0</v>
      </c>
      <c r="W46" s="448">
        <f t="shared" si="29"/>
        <v>0</v>
      </c>
      <c r="X46" s="448">
        <f t="shared" si="29"/>
        <v>0</v>
      </c>
      <c r="Y46" s="448">
        <f t="shared" si="29"/>
        <v>0</v>
      </c>
      <c r="Z46" s="547">
        <f t="shared" si="29"/>
        <v>0</v>
      </c>
      <c r="AA46" s="547">
        <f t="shared" si="29"/>
        <v>0</v>
      </c>
      <c r="AB46" s="547">
        <f t="shared" si="29"/>
        <v>0</v>
      </c>
      <c r="AC46" s="547">
        <f t="shared" si="29"/>
        <v>0</v>
      </c>
      <c r="AD46" s="547">
        <f t="shared" si="29"/>
        <v>0</v>
      </c>
      <c r="AE46" s="547">
        <f t="shared" si="29"/>
        <v>0</v>
      </c>
      <c r="AF46" s="547">
        <f t="shared" si="29"/>
        <v>0</v>
      </c>
      <c r="AG46" s="448">
        <f t="shared" si="29"/>
        <v>0</v>
      </c>
      <c r="AH46" s="448">
        <f t="shared" si="29"/>
        <v>0</v>
      </c>
      <c r="AI46" s="448">
        <f t="shared" si="29"/>
        <v>0</v>
      </c>
      <c r="AJ46" s="448">
        <f t="shared" si="29"/>
        <v>0</v>
      </c>
      <c r="AK46" s="448">
        <f t="shared" si="29"/>
        <v>0</v>
      </c>
      <c r="AL46" s="524">
        <f t="shared" si="29"/>
        <v>0</v>
      </c>
      <c r="AM46" s="478"/>
      <c r="AN46" s="477"/>
      <c r="AQ46" s="607" t="s">
        <v>153</v>
      </c>
      <c r="AR46" s="606"/>
      <c r="AS46" s="608">
        <v>0.35</v>
      </c>
    </row>
    <row r="47" spans="1:45" ht="15.75" thickBot="1">
      <c r="A47" s="540"/>
      <c r="B47" s="540"/>
      <c r="C47" s="600"/>
      <c r="E47" s="477"/>
      <c r="F47" s="478"/>
      <c r="G47" s="568" t="s">
        <v>34</v>
      </c>
      <c r="H47" s="429"/>
      <c r="I47" s="445">
        <f>SUM(I45:I46)</f>
        <v>495000000</v>
      </c>
      <c r="J47" s="445">
        <f aca="true" t="shared" si="30" ref="J47:R47">SUM(J45:J46)</f>
        <v>396000000</v>
      </c>
      <c r="K47" s="445">
        <f t="shared" si="30"/>
        <v>316800000</v>
      </c>
      <c r="L47" s="445">
        <f t="shared" si="30"/>
        <v>253440000</v>
      </c>
      <c r="M47" s="445">
        <f t="shared" si="30"/>
        <v>202730000</v>
      </c>
      <c r="N47" s="445">
        <f>SUM(N45:N46)</f>
        <v>162195000</v>
      </c>
      <c r="O47" s="445">
        <f t="shared" si="30"/>
        <v>126170000</v>
      </c>
      <c r="P47" s="445">
        <f t="shared" si="30"/>
        <v>90145000</v>
      </c>
      <c r="Q47" s="445">
        <f t="shared" si="30"/>
        <v>54065000</v>
      </c>
      <c r="R47" s="447">
        <f t="shared" si="30"/>
        <v>18040000</v>
      </c>
      <c r="S47" s="447">
        <f>SUM(S45:S46)</f>
        <v>0</v>
      </c>
      <c r="T47" s="447">
        <f aca="true" t="shared" si="31" ref="T47:AB47">SUM(T45:T46)</f>
        <v>0</v>
      </c>
      <c r="U47" s="447">
        <f t="shared" si="31"/>
        <v>0</v>
      </c>
      <c r="V47" s="447">
        <f t="shared" si="31"/>
        <v>0</v>
      </c>
      <c r="W47" s="447">
        <f t="shared" si="31"/>
        <v>0</v>
      </c>
      <c r="X47" s="447">
        <f t="shared" si="31"/>
        <v>0</v>
      </c>
      <c r="Y47" s="447">
        <f t="shared" si="31"/>
        <v>0</v>
      </c>
      <c r="Z47" s="445">
        <f t="shared" si="31"/>
        <v>0</v>
      </c>
      <c r="AA47" s="445">
        <f t="shared" si="31"/>
        <v>0</v>
      </c>
      <c r="AB47" s="445">
        <f t="shared" si="31"/>
        <v>0</v>
      </c>
      <c r="AC47" s="445">
        <f>SUM(AC45:AC46)</f>
        <v>0</v>
      </c>
      <c r="AD47" s="445">
        <f>SUM(AD45:AD46)</f>
        <v>0</v>
      </c>
      <c r="AE47" s="445">
        <f>SUM(AE45:AE46)</f>
        <v>0</v>
      </c>
      <c r="AF47" s="445">
        <f>SUM(AF45:AF46)</f>
        <v>0</v>
      </c>
      <c r="AG47" s="447">
        <f>SUM(AG45:AG46)</f>
        <v>0</v>
      </c>
      <c r="AH47" s="447">
        <f>SUM(AH45:AH46)</f>
        <v>0</v>
      </c>
      <c r="AI47" s="447">
        <f>SUM(AI45:AI46)</f>
        <v>0</v>
      </c>
      <c r="AJ47" s="447">
        <f>SUM(AJ45:AJ46)</f>
        <v>0</v>
      </c>
      <c r="AK47" s="447">
        <f>SUM(AK45:AK46)</f>
        <v>0</v>
      </c>
      <c r="AL47" s="523">
        <f>SUM(AL45:AL46)</f>
        <v>0</v>
      </c>
      <c r="AM47" s="478"/>
      <c r="AN47" s="477"/>
      <c r="AQ47" s="607" t="s">
        <v>154</v>
      </c>
      <c r="AR47" s="606"/>
      <c r="AS47" s="608">
        <v>0.071</v>
      </c>
    </row>
    <row r="48" spans="1:45" ht="16.5" thickBot="1" thickTop="1">
      <c r="A48" s="531"/>
      <c r="B48" s="531"/>
      <c r="C48" s="531"/>
      <c r="E48" s="477"/>
      <c r="F48" s="478"/>
      <c r="G48" s="458"/>
      <c r="H48" s="459"/>
      <c r="I48" s="556"/>
      <c r="J48" s="459"/>
      <c r="K48" s="459"/>
      <c r="L48" s="459"/>
      <c r="M48" s="459"/>
      <c r="N48" s="459"/>
      <c r="O48" s="459"/>
      <c r="P48" s="459"/>
      <c r="Q48" s="459"/>
      <c r="R48" s="459"/>
      <c r="S48" s="489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69"/>
      <c r="AM48" s="478"/>
      <c r="AN48" s="477"/>
      <c r="AQ48" s="607" t="s">
        <v>155</v>
      </c>
      <c r="AR48" s="606"/>
      <c r="AS48" s="609">
        <v>0.0885</v>
      </c>
    </row>
    <row r="49" spans="1:45" ht="18" thickBot="1">
      <c r="A49" s="588" t="s">
        <v>42</v>
      </c>
      <c r="B49" s="589"/>
      <c r="C49" s="590"/>
      <c r="E49" s="477"/>
      <c r="F49" s="478"/>
      <c r="G49" s="497" t="s">
        <v>31</v>
      </c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3"/>
      <c r="AM49" s="478"/>
      <c r="AN49" s="477"/>
      <c r="AQ49" s="607" t="s">
        <v>14</v>
      </c>
      <c r="AR49" s="606"/>
      <c r="AS49" s="608">
        <f>AS46+(1-AS46)*(AS47+AS48)</f>
        <v>0.45367499999999994</v>
      </c>
    </row>
    <row r="50" spans="1:45" ht="18">
      <c r="A50" s="591" t="s">
        <v>37</v>
      </c>
      <c r="B50" s="592"/>
      <c r="C50" s="597">
        <f ca="1">SUM(I40:OFFSET($H$40,0,$C$34))-($C$8*C28)</f>
        <v>-245607293.93154702</v>
      </c>
      <c r="E50" s="477"/>
      <c r="F50" s="478"/>
      <c r="G50" s="564" t="s">
        <v>30</v>
      </c>
      <c r="H50" s="565"/>
      <c r="I50" s="461">
        <f>IF(I8&gt;C34,0,C27*C8)</f>
        <v>275000000</v>
      </c>
      <c r="J50" s="462">
        <f aca="true" t="shared" si="32" ref="J50:AL50">IF(J8&gt;$C$34,0,I53)</f>
        <v>269525768.5146924</v>
      </c>
      <c r="K50" s="462">
        <f t="shared" si="32"/>
        <v>263757570.7986238</v>
      </c>
      <c r="L50" s="462">
        <f t="shared" si="32"/>
        <v>257679620.8652023</v>
      </c>
      <c r="M50" s="462">
        <f t="shared" si="32"/>
        <v>251275285.0203561</v>
      </c>
      <c r="N50" s="462">
        <f t="shared" si="32"/>
        <v>244527036.34064162</v>
      </c>
      <c r="O50" s="462">
        <f t="shared" si="32"/>
        <v>237416406.70682648</v>
      </c>
      <c r="P50" s="462">
        <f t="shared" si="32"/>
        <v>229923936.26167548</v>
      </c>
      <c r="Q50" s="462">
        <f t="shared" si="32"/>
        <v>222029120.15361986</v>
      </c>
      <c r="R50" s="462">
        <f t="shared" si="32"/>
        <v>213710352.42056164</v>
      </c>
      <c r="S50" s="462">
        <f t="shared" si="32"/>
        <v>204944866.8602382</v>
      </c>
      <c r="T50" s="462">
        <f t="shared" si="32"/>
        <v>195708674.7253254</v>
      </c>
      <c r="U50" s="462">
        <f t="shared" si="32"/>
        <v>185976499.0727678</v>
      </c>
      <c r="V50" s="462">
        <f t="shared" si="32"/>
        <v>175721705.58766782</v>
      </c>
      <c r="W50" s="462">
        <f t="shared" si="32"/>
        <v>164916229.69241798</v>
      </c>
      <c r="X50" s="462">
        <f t="shared" si="32"/>
        <v>153530499.74159324</v>
      </c>
      <c r="Y50" s="462">
        <f t="shared" si="32"/>
        <v>141533356.0924092</v>
      </c>
      <c r="Z50" s="462">
        <f t="shared" si="32"/>
        <v>128891965.82926397</v>
      </c>
      <c r="AA50" s="462">
        <f t="shared" si="32"/>
        <v>115571732.90898785</v>
      </c>
      <c r="AB50" s="462">
        <f t="shared" si="32"/>
        <v>101536203.4808929</v>
      </c>
      <c r="AC50" s="462">
        <f t="shared" si="32"/>
        <v>86746966.12250926</v>
      </c>
      <c r="AD50" s="462">
        <f t="shared" si="32"/>
        <v>71163546.71798041</v>
      </c>
      <c r="AE50" s="462">
        <f t="shared" si="32"/>
        <v>54743297.69142837</v>
      </c>
      <c r="AF50" s="462">
        <f t="shared" si="32"/>
        <v>37441281.29215048</v>
      </c>
      <c r="AG50" s="462">
        <f t="shared" si="32"/>
        <v>19210146.61223137</v>
      </c>
      <c r="AH50" s="462">
        <f t="shared" si="32"/>
        <v>0</v>
      </c>
      <c r="AI50" s="462">
        <f t="shared" si="32"/>
        <v>0</v>
      </c>
      <c r="AJ50" s="462">
        <f t="shared" si="32"/>
        <v>0</v>
      </c>
      <c r="AK50" s="462">
        <f t="shared" si="32"/>
        <v>0</v>
      </c>
      <c r="AL50" s="522">
        <f t="shared" si="32"/>
        <v>0</v>
      </c>
      <c r="AM50" s="478"/>
      <c r="AN50" s="477"/>
      <c r="AS50" s="608">
        <f>(1-AS46)*(AS47+AS48)</f>
        <v>0.10367499999999999</v>
      </c>
    </row>
    <row r="51" spans="1:40" ht="18" thickBot="1">
      <c r="A51" s="593" t="s">
        <v>105</v>
      </c>
      <c r="B51" s="586"/>
      <c r="C51" s="594"/>
      <c r="E51" s="477"/>
      <c r="F51" s="478"/>
      <c r="G51" s="560" t="s">
        <v>32</v>
      </c>
      <c r="H51" s="539"/>
      <c r="I51" s="544">
        <f aca="true" t="shared" si="33" ref="I51:AL51">IF(I8&gt;$C$34,0,-I50*$C$29)</f>
        <v>-14767500</v>
      </c>
      <c r="J51" s="544">
        <f t="shared" si="33"/>
        <v>-14473533.769238982</v>
      </c>
      <c r="K51" s="544">
        <f t="shared" si="33"/>
        <v>-14163781.551886097</v>
      </c>
      <c r="L51" s="544">
        <f t="shared" si="33"/>
        <v>-13837395.640461363</v>
      </c>
      <c r="M51" s="544">
        <f t="shared" si="33"/>
        <v>-13493482.805593122</v>
      </c>
      <c r="N51" s="544">
        <f t="shared" si="33"/>
        <v>-13131101.851492455</v>
      </c>
      <c r="O51" s="544">
        <f t="shared" si="33"/>
        <v>-12749261.04015658</v>
      </c>
      <c r="P51" s="544">
        <f t="shared" si="33"/>
        <v>-12346915.377251973</v>
      </c>
      <c r="Q51" s="544">
        <f t="shared" si="33"/>
        <v>-11922963.752249386</v>
      </c>
      <c r="R51" s="544">
        <f t="shared" si="33"/>
        <v>-11476245.924984159</v>
      </c>
      <c r="S51" s="544">
        <f t="shared" si="33"/>
        <v>-11005539.350394791</v>
      </c>
      <c r="T51" s="544">
        <f t="shared" si="33"/>
        <v>-10509555.832749974</v>
      </c>
      <c r="U51" s="544">
        <f t="shared" si="33"/>
        <v>-9986938.00020763</v>
      </c>
      <c r="V51" s="544">
        <f t="shared" si="33"/>
        <v>-9436255.590057762</v>
      </c>
      <c r="W51" s="544">
        <f t="shared" si="33"/>
        <v>-8856001.534482846</v>
      </c>
      <c r="X51" s="544">
        <f t="shared" si="33"/>
        <v>-8244587.836123557</v>
      </c>
      <c r="Y51" s="544">
        <f t="shared" si="33"/>
        <v>-7600341.222162373</v>
      </c>
      <c r="Z51" s="544">
        <f t="shared" si="33"/>
        <v>-6921498.565031474</v>
      </c>
      <c r="AA51" s="544">
        <f t="shared" si="33"/>
        <v>-6206202.057212647</v>
      </c>
      <c r="AB51" s="544">
        <f t="shared" si="33"/>
        <v>-5452494.1269239485</v>
      </c>
      <c r="AC51" s="544">
        <f t="shared" si="33"/>
        <v>-4658312.080778747</v>
      </c>
      <c r="AD51" s="544">
        <f t="shared" si="33"/>
        <v>-3821482.458755548</v>
      </c>
      <c r="AE51" s="544">
        <f t="shared" si="33"/>
        <v>-2939715.0860297033</v>
      </c>
      <c r="AF51" s="544">
        <f t="shared" si="33"/>
        <v>-2010596.805388481</v>
      </c>
      <c r="AG51" s="544">
        <f t="shared" si="33"/>
        <v>-1031584.8730768245</v>
      </c>
      <c r="AH51" s="544">
        <f t="shared" si="33"/>
        <v>0</v>
      </c>
      <c r="AI51" s="544">
        <f t="shared" si="33"/>
        <v>0</v>
      </c>
      <c r="AJ51" s="544">
        <f t="shared" si="33"/>
        <v>0</v>
      </c>
      <c r="AK51" s="544">
        <f t="shared" si="33"/>
        <v>0</v>
      </c>
      <c r="AL51" s="475">
        <f t="shared" si="33"/>
        <v>0</v>
      </c>
      <c r="AM51" s="478"/>
      <c r="AN51" s="477"/>
    </row>
    <row r="52" spans="1:40" ht="18" thickBot="1">
      <c r="A52" s="595" t="s">
        <v>104</v>
      </c>
      <c r="B52" s="596"/>
      <c r="C52" s="598">
        <f ca="1">SUM(I41:OFFSET($H$41,0,$C$34))-($C$8*C28)</f>
        <v>-117852166.29453263</v>
      </c>
      <c r="E52" s="477"/>
      <c r="F52" s="478"/>
      <c r="G52" s="560" t="s">
        <v>33</v>
      </c>
      <c r="H52" s="539"/>
      <c r="I52" s="544">
        <f aca="true" t="shared" si="34" ref="I52:AL52">IF(I8&gt;$C$34,0,$C$46-I51)</f>
        <v>-5474231.485307593</v>
      </c>
      <c r="J52" s="544">
        <f t="shared" si="34"/>
        <v>-5768197.716068611</v>
      </c>
      <c r="K52" s="544">
        <f t="shared" si="34"/>
        <v>-6077949.933421496</v>
      </c>
      <c r="L52" s="544">
        <f t="shared" si="34"/>
        <v>-6404335.84484623</v>
      </c>
      <c r="M52" s="544">
        <f t="shared" si="34"/>
        <v>-6748248.679714471</v>
      </c>
      <c r="N52" s="544">
        <f t="shared" si="34"/>
        <v>-7110629.633815138</v>
      </c>
      <c r="O52" s="544">
        <f t="shared" si="34"/>
        <v>-7492470.445151012</v>
      </c>
      <c r="P52" s="544">
        <f t="shared" si="34"/>
        <v>-7894816.1080556195</v>
      </c>
      <c r="Q52" s="544">
        <f t="shared" si="34"/>
        <v>-8318767.733058207</v>
      </c>
      <c r="R52" s="544">
        <f t="shared" si="34"/>
        <v>-8765485.560323434</v>
      </c>
      <c r="S52" s="544">
        <f t="shared" si="34"/>
        <v>-9236192.134912802</v>
      </c>
      <c r="T52" s="544">
        <f t="shared" si="34"/>
        <v>-9732175.652557619</v>
      </c>
      <c r="U52" s="544">
        <f t="shared" si="34"/>
        <v>-10254793.485099962</v>
      </c>
      <c r="V52" s="544">
        <f t="shared" si="34"/>
        <v>-10805475.89524983</v>
      </c>
      <c r="W52" s="544">
        <f t="shared" si="34"/>
        <v>-11385729.950824747</v>
      </c>
      <c r="X52" s="544">
        <f t="shared" si="34"/>
        <v>-11997143.649184037</v>
      </c>
      <c r="Y52" s="544">
        <f t="shared" si="34"/>
        <v>-12641390.26314522</v>
      </c>
      <c r="Z52" s="544">
        <f t="shared" si="34"/>
        <v>-13320232.920276118</v>
      </c>
      <c r="AA52" s="544">
        <f t="shared" si="34"/>
        <v>-14035529.428094946</v>
      </c>
      <c r="AB52" s="544">
        <f t="shared" si="34"/>
        <v>-14789237.358383644</v>
      </c>
      <c r="AC52" s="544">
        <f t="shared" si="34"/>
        <v>-15583419.404528845</v>
      </c>
      <c r="AD52" s="544">
        <f t="shared" si="34"/>
        <v>-16420249.026552044</v>
      </c>
      <c r="AE52" s="544">
        <f t="shared" si="34"/>
        <v>-17302016.39927789</v>
      </c>
      <c r="AF52" s="544">
        <f t="shared" si="34"/>
        <v>-18231134.679919112</v>
      </c>
      <c r="AG52" s="544">
        <f t="shared" si="34"/>
        <v>-19210146.61223077</v>
      </c>
      <c r="AH52" s="544">
        <f t="shared" si="34"/>
        <v>0</v>
      </c>
      <c r="AI52" s="544">
        <f t="shared" si="34"/>
        <v>0</v>
      </c>
      <c r="AJ52" s="544">
        <f t="shared" si="34"/>
        <v>0</v>
      </c>
      <c r="AK52" s="544">
        <f t="shared" si="34"/>
        <v>0</v>
      </c>
      <c r="AL52" s="475">
        <f t="shared" si="34"/>
        <v>0</v>
      </c>
      <c r="AM52" s="478"/>
      <c r="AN52" s="477"/>
    </row>
    <row r="53" spans="5:40" ht="15.75" thickBot="1">
      <c r="E53" s="477"/>
      <c r="F53" s="478"/>
      <c r="G53" s="566" t="s">
        <v>34</v>
      </c>
      <c r="H53" s="534"/>
      <c r="I53" s="445">
        <f>I50+I52</f>
        <v>269525768.5146924</v>
      </c>
      <c r="J53" s="446">
        <f>J50+J52</f>
        <v>263757570.7986238</v>
      </c>
      <c r="K53" s="446">
        <f aca="true" t="shared" si="35" ref="K53:R53">K50+K52</f>
        <v>257679620.8652023</v>
      </c>
      <c r="L53" s="446">
        <f t="shared" si="35"/>
        <v>251275285.0203561</v>
      </c>
      <c r="M53" s="446">
        <f t="shared" si="35"/>
        <v>244527036.34064162</v>
      </c>
      <c r="N53" s="446">
        <f t="shared" si="35"/>
        <v>237416406.70682648</v>
      </c>
      <c r="O53" s="446">
        <f t="shared" si="35"/>
        <v>229923936.26167548</v>
      </c>
      <c r="P53" s="446">
        <f t="shared" si="35"/>
        <v>222029120.15361986</v>
      </c>
      <c r="Q53" s="446">
        <f t="shared" si="35"/>
        <v>213710352.42056164</v>
      </c>
      <c r="R53" s="446">
        <f t="shared" si="35"/>
        <v>204944866.8602382</v>
      </c>
      <c r="S53" s="446">
        <f>S50+S52</f>
        <v>195708674.7253254</v>
      </c>
      <c r="T53" s="446">
        <f>T50+T52</f>
        <v>185976499.0727678</v>
      </c>
      <c r="U53" s="446">
        <f>U50+U52</f>
        <v>175721705.58766782</v>
      </c>
      <c r="V53" s="446">
        <f>V50+V52</f>
        <v>164916229.69241798</v>
      </c>
      <c r="W53" s="446">
        <f>W50+W52</f>
        <v>153530499.74159324</v>
      </c>
      <c r="X53" s="446">
        <f>X50+X52</f>
        <v>141533356.0924092</v>
      </c>
      <c r="Y53" s="446">
        <f>Y50+Y52</f>
        <v>128891965.82926397</v>
      </c>
      <c r="Z53" s="446">
        <f aca="true" t="shared" si="36" ref="Z53:AG53">Z50+Z52</f>
        <v>115571732.90898785</v>
      </c>
      <c r="AA53" s="446">
        <f t="shared" si="36"/>
        <v>101536203.4808929</v>
      </c>
      <c r="AB53" s="446">
        <f t="shared" si="36"/>
        <v>86746966.12250926</v>
      </c>
      <c r="AC53" s="446">
        <f t="shared" si="36"/>
        <v>71163546.71798041</v>
      </c>
      <c r="AD53" s="446">
        <f t="shared" si="36"/>
        <v>54743297.69142837</v>
      </c>
      <c r="AE53" s="446">
        <f t="shared" si="36"/>
        <v>37441281.29215048</v>
      </c>
      <c r="AF53" s="446">
        <f t="shared" si="36"/>
        <v>19210146.61223137</v>
      </c>
      <c r="AG53" s="446">
        <f t="shared" si="36"/>
        <v>5.997717380523682E-07</v>
      </c>
      <c r="AH53" s="446">
        <f>AH50+AH52</f>
        <v>0</v>
      </c>
      <c r="AI53" s="446">
        <f>AI50+AI52</f>
        <v>0</v>
      </c>
      <c r="AJ53" s="446">
        <f>AJ50+AJ52</f>
        <v>0</v>
      </c>
      <c r="AK53" s="446">
        <f>AK50+AK52</f>
        <v>0</v>
      </c>
      <c r="AL53" s="521">
        <f>AL50+AL52</f>
        <v>0</v>
      </c>
      <c r="AM53" s="478"/>
      <c r="AN53" s="477"/>
    </row>
    <row r="54" spans="5:40" ht="9" customHeight="1" thickBot="1" thickTop="1">
      <c r="E54" s="477"/>
      <c r="F54" s="478"/>
      <c r="G54" s="458"/>
      <c r="H54" s="459"/>
      <c r="I54" s="556"/>
      <c r="J54" s="459"/>
      <c r="K54" s="459"/>
      <c r="L54" s="459"/>
      <c r="M54" s="459"/>
      <c r="N54" s="459"/>
      <c r="O54" s="459"/>
      <c r="P54" s="459"/>
      <c r="Q54" s="459"/>
      <c r="R54" s="459"/>
      <c r="S54" s="501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60"/>
      <c r="AM54" s="478"/>
      <c r="AN54" s="477"/>
    </row>
    <row r="55" spans="5:40" ht="5.25" customHeight="1">
      <c r="E55" s="477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7"/>
    </row>
    <row r="56" spans="2:40" ht="15">
      <c r="B56" s="496" t="s">
        <v>77</v>
      </c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</row>
    <row r="58" spans="1:3" ht="14.25">
      <c r="A58" s="611" t="s">
        <v>156</v>
      </c>
      <c r="B58" s="610"/>
      <c r="C58" s="612">
        <f>C52/C9/1000</f>
        <v>-1178.5216629453262</v>
      </c>
    </row>
    <row r="60" spans="7:19" ht="14.25">
      <c r="G60" s="530"/>
      <c r="H60" s="492"/>
      <c r="I60" s="487"/>
      <c r="S60" s="604"/>
    </row>
    <row r="61" spans="9:18" ht="14.25">
      <c r="I61" s="605"/>
      <c r="R61" s="604"/>
    </row>
    <row r="62" spans="9:38" ht="14.25">
      <c r="I62" s="604"/>
      <c r="AI62" s="530"/>
      <c r="AJ62" s="530"/>
      <c r="AK62" s="530"/>
      <c r="AL62" s="530"/>
    </row>
    <row r="63" spans="9:10" ht="14.25">
      <c r="I63" s="599"/>
      <c r="J63" s="604"/>
    </row>
    <row r="64" spans="1:9" ht="18">
      <c r="A64" s="520"/>
      <c r="I64" s="599"/>
    </row>
    <row r="65" spans="1:18" ht="18">
      <c r="A65" s="520"/>
      <c r="I65" s="580"/>
      <c r="J65" s="580"/>
      <c r="K65" s="580"/>
      <c r="L65" s="580"/>
      <c r="M65" s="580"/>
      <c r="N65" s="581"/>
      <c r="O65" s="581"/>
      <c r="P65" s="581"/>
      <c r="Q65" s="581"/>
      <c r="R65" s="581"/>
    </row>
    <row r="66" spans="15:18" ht="14.25">
      <c r="O66" s="546"/>
      <c r="P66" s="546"/>
      <c r="Q66" s="546"/>
      <c r="R66" s="546"/>
    </row>
    <row r="67" spans="9:13" ht="14.25">
      <c r="I67" s="583"/>
      <c r="J67" s="583"/>
      <c r="K67" s="583"/>
      <c r="L67" s="583"/>
      <c r="M67" s="583"/>
    </row>
  </sheetData>
  <sheetProtection/>
  <mergeCells count="1">
    <mergeCell ref="A4:C4"/>
  </mergeCells>
  <conditionalFormatting sqref="A66:A65531 A57:A63 A49:A55 G44:AL48 G50:AL54 G57:AL65529 C23 AM57:AM65528 F58:F65528 D7:D65523 AN57:AN65527 A4:A5 D4:D5 B5:C5 G8:AL10 C19:C21 A48:C48 E58:E65527 B18:B23 B24:C47 B49:C65531 E57:F57 A47 B7:C17 G12:AL42 AO1:IV65536">
    <cfRule type="cellIs" priority="2" dxfId="28" operator="lessThan">
      <formula>0</formula>
    </cfRule>
  </conditionalFormatting>
  <conditionalFormatting sqref="A58:C58">
    <cfRule type="cellIs" priority="1" dxfId="28" operator="lessThan">
      <formula>0</formula>
    </cfRule>
  </conditionalFormatting>
  <dataValidations count="8">
    <dataValidation type="list" allowBlank="1" showInputMessage="1" showErrorMessage="1" sqref="M63">
      <formula1>$O$63:$O$65</formula1>
    </dataValidation>
    <dataValidation type="list" allowBlank="1" showInputMessage="1" showErrorMessage="1" sqref="D26">
      <formula1>"1, 2, 3, 4, 5"</formula1>
    </dataValidation>
    <dataValidation type="list" allowBlank="1" showInputMessage="1" showErrorMessage="1" sqref="C24">
      <formula1>"-10, -9, -8, -7, -6, -5, -4, -3, -2, -1, 0, 1, 2, 3, 4, 5, 6, 7, 8, 9, 10"</formula1>
    </dataValidation>
    <dataValidation type="list" allowBlank="1" showInputMessage="1" showErrorMessage="1" sqref="C34">
      <formula1>"1, 2, 3, 4, 5, 6, 7, 8, 9, 10, 11, 12, 13, 14, 15,16,17,18,19,20,21,22,23,24,25,26,27,28,29,30"</formula1>
    </dataValidation>
    <dataValidation type="list" allowBlank="1" showInputMessage="1" showErrorMessage="1" sqref="C35">
      <formula1>$AP$7:$AR$7</formula1>
    </dataValidation>
    <dataValidation type="list" allowBlank="1" showInputMessage="1" showErrorMessage="1" sqref="C36">
      <formula1>INDIRECT($C$35)</formula1>
    </dataValidation>
    <dataValidation type="list" allowBlank="1" showInputMessage="1" showErrorMessage="1" sqref="C47 C25">
      <formula1>"YES, NO"</formula1>
    </dataValidation>
    <dataValidation type="list" allowBlank="1" showInputMessage="1" showErrorMessage="1" sqref="C15">
      <formula1>"0,15,25"</formula1>
    </dataValidation>
  </dataValidations>
  <printOptions/>
  <pageMargins left="0.7" right="0.7" top="0.75" bottom="0.75" header="0.3" footer="0.3"/>
  <pageSetup horizontalDpi="600" verticalDpi="600" orientation="portrait" r:id="rId1"/>
  <headerFooter>
    <oddFooter>&amp;RPrepared by Julia Popova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67"/>
  <sheetViews>
    <sheetView zoomScale="70" zoomScaleNormal="70" zoomScalePageLayoutView="0" workbookViewId="0" topLeftCell="A1">
      <pane xSplit="7" ySplit="7" topLeftCell="H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63" sqref="B63"/>
    </sheetView>
  </sheetViews>
  <sheetFormatPr defaultColWidth="9.140625" defaultRowHeight="15"/>
  <cols>
    <col min="1" max="1" width="38.421875" style="147" customWidth="1"/>
    <col min="2" max="2" width="12.421875" style="147" bestFit="1" customWidth="1"/>
    <col min="3" max="3" width="20.00390625" style="147" bestFit="1" customWidth="1"/>
    <col min="4" max="4" width="2.7109375" style="167" customWidth="1"/>
    <col min="5" max="5" width="3.00390625" style="147" customWidth="1"/>
    <col min="6" max="6" width="1.57421875" style="147" customWidth="1"/>
    <col min="7" max="7" width="51.00390625" style="147" bestFit="1" customWidth="1"/>
    <col min="8" max="8" width="11.140625" style="147" bestFit="1" customWidth="1"/>
    <col min="9" max="10" width="17.7109375" style="147" bestFit="1" customWidth="1"/>
    <col min="11" max="11" width="16.8515625" style="147" bestFit="1" customWidth="1"/>
    <col min="12" max="12" width="17.7109375" style="147" bestFit="1" customWidth="1"/>
    <col min="13" max="13" width="17.28125" style="147" bestFit="1" customWidth="1"/>
    <col min="14" max="16" width="16.00390625" style="147" bestFit="1" customWidth="1"/>
    <col min="17" max="17" width="16.7109375" style="147" bestFit="1" customWidth="1"/>
    <col min="18" max="18" width="16.8515625" style="147" bestFit="1" customWidth="1"/>
    <col min="19" max="19" width="17.28125" style="147" bestFit="1" customWidth="1"/>
    <col min="20" max="20" width="16.421875" style="147" bestFit="1" customWidth="1"/>
    <col min="21" max="21" width="17.7109375" style="147" bestFit="1" customWidth="1"/>
    <col min="22" max="22" width="16.00390625" style="147" bestFit="1" customWidth="1"/>
    <col min="23" max="23" width="16.7109375" style="147" bestFit="1" customWidth="1"/>
    <col min="24" max="24" width="16.00390625" style="147" bestFit="1" customWidth="1"/>
    <col min="25" max="28" width="16.7109375" style="147" bestFit="1" customWidth="1"/>
    <col min="29" max="35" width="8.8515625" style="147" bestFit="1" customWidth="1"/>
    <col min="36" max="36" width="8.8515625" style="147" customWidth="1"/>
    <col min="37" max="38" width="8.8515625" style="147" bestFit="1" customWidth="1"/>
    <col min="39" max="40" width="1.421875" style="147" customWidth="1"/>
    <col min="41" max="41" width="9.140625" style="147" customWidth="1"/>
    <col min="42" max="42" width="8.7109375" style="147" bestFit="1" customWidth="1"/>
    <col min="43" max="43" width="14.8515625" style="147" bestFit="1" customWidth="1"/>
    <col min="44" max="16384" width="9.140625" style="147" customWidth="1"/>
  </cols>
  <sheetData>
    <row r="1" ht="23.25">
      <c r="A1" s="130" t="s">
        <v>124</v>
      </c>
    </row>
    <row r="2" ht="23.25">
      <c r="A2" s="130" t="s">
        <v>122</v>
      </c>
    </row>
    <row r="3" ht="23.25">
      <c r="A3" s="130" t="s">
        <v>123</v>
      </c>
    </row>
    <row r="4" spans="1:3" ht="21">
      <c r="A4" s="613" t="s">
        <v>125</v>
      </c>
      <c r="B4" s="614"/>
      <c r="C4" s="614"/>
    </row>
    <row r="5" spans="1:40" ht="15">
      <c r="A5" s="232"/>
      <c r="B5" s="232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</row>
    <row r="6" spans="5:40" ht="5.25" customHeight="1"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0"/>
    </row>
    <row r="7" spans="1:44" ht="15.75" thickBot="1">
      <c r="A7" s="52" t="s">
        <v>0</v>
      </c>
      <c r="B7" s="148"/>
      <c r="E7" s="50"/>
      <c r="F7" s="51"/>
      <c r="G7" s="54" t="s">
        <v>64</v>
      </c>
      <c r="H7" s="55">
        <v>42491</v>
      </c>
      <c r="I7" s="56">
        <v>42856</v>
      </c>
      <c r="J7" s="56">
        <v>43221</v>
      </c>
      <c r="K7" s="56">
        <v>43586</v>
      </c>
      <c r="L7" s="56">
        <v>43952</v>
      </c>
      <c r="M7" s="56">
        <v>44317</v>
      </c>
      <c r="N7" s="56">
        <v>44682</v>
      </c>
      <c r="O7" s="56">
        <v>45047</v>
      </c>
      <c r="P7" s="56">
        <v>45413</v>
      </c>
      <c r="Q7" s="56">
        <v>45778</v>
      </c>
      <c r="R7" s="56">
        <v>46143</v>
      </c>
      <c r="S7" s="56">
        <v>46508</v>
      </c>
      <c r="T7" s="56">
        <v>46874</v>
      </c>
      <c r="U7" s="56">
        <v>47239</v>
      </c>
      <c r="V7" s="56">
        <v>47604</v>
      </c>
      <c r="W7" s="56">
        <v>47969</v>
      </c>
      <c r="X7" s="56">
        <v>48335</v>
      </c>
      <c r="Y7" s="56">
        <v>48700</v>
      </c>
      <c r="Z7" s="56">
        <v>49065</v>
      </c>
      <c r="AA7" s="56">
        <v>49430</v>
      </c>
      <c r="AB7" s="56">
        <v>49796</v>
      </c>
      <c r="AC7" s="56">
        <v>50161</v>
      </c>
      <c r="AD7" s="56">
        <v>50526</v>
      </c>
      <c r="AE7" s="56">
        <v>50891</v>
      </c>
      <c r="AF7" s="56">
        <v>51257</v>
      </c>
      <c r="AG7" s="56">
        <v>51622</v>
      </c>
      <c r="AH7" s="56">
        <v>51987</v>
      </c>
      <c r="AI7" s="56">
        <v>52352</v>
      </c>
      <c r="AJ7" s="56">
        <v>52718</v>
      </c>
      <c r="AK7" s="56">
        <v>53083</v>
      </c>
      <c r="AL7" s="56">
        <v>53448</v>
      </c>
      <c r="AM7" s="51"/>
      <c r="AN7" s="50"/>
      <c r="AP7" s="179" t="s">
        <v>45</v>
      </c>
      <c r="AQ7" s="179" t="s">
        <v>46</v>
      </c>
      <c r="AR7" s="179" t="s">
        <v>94</v>
      </c>
    </row>
    <row r="8" spans="1:44" ht="15">
      <c r="A8" s="57" t="s">
        <v>71</v>
      </c>
      <c r="B8" s="61" t="s">
        <v>74</v>
      </c>
      <c r="C8" s="239">
        <f>1800*1.5*C9*1000</f>
        <v>270000000</v>
      </c>
      <c r="D8" s="173"/>
      <c r="E8" s="50"/>
      <c r="F8" s="51"/>
      <c r="G8" s="227" t="s">
        <v>16</v>
      </c>
      <c r="H8" s="228"/>
      <c r="I8" s="229">
        <v>1</v>
      </c>
      <c r="J8" s="229">
        <v>2</v>
      </c>
      <c r="K8" s="229">
        <v>3</v>
      </c>
      <c r="L8" s="229">
        <v>4</v>
      </c>
      <c r="M8" s="229">
        <v>5</v>
      </c>
      <c r="N8" s="229">
        <v>6</v>
      </c>
      <c r="O8" s="229">
        <v>7</v>
      </c>
      <c r="P8" s="229">
        <v>8</v>
      </c>
      <c r="Q8" s="229">
        <v>9</v>
      </c>
      <c r="R8" s="229">
        <v>10</v>
      </c>
      <c r="S8" s="229">
        <v>11</v>
      </c>
      <c r="T8" s="229">
        <v>12</v>
      </c>
      <c r="U8" s="229">
        <v>13</v>
      </c>
      <c r="V8" s="229">
        <v>14</v>
      </c>
      <c r="W8" s="229">
        <v>15</v>
      </c>
      <c r="X8" s="229">
        <v>16</v>
      </c>
      <c r="Y8" s="229">
        <v>17</v>
      </c>
      <c r="Z8" s="229">
        <v>18</v>
      </c>
      <c r="AA8" s="229">
        <v>19</v>
      </c>
      <c r="AB8" s="229">
        <v>20</v>
      </c>
      <c r="AC8" s="229">
        <v>21</v>
      </c>
      <c r="AD8" s="229">
        <v>22</v>
      </c>
      <c r="AE8" s="229">
        <v>23</v>
      </c>
      <c r="AF8" s="229">
        <v>24</v>
      </c>
      <c r="AG8" s="229">
        <v>25</v>
      </c>
      <c r="AH8" s="229">
        <v>26</v>
      </c>
      <c r="AI8" s="229">
        <v>27</v>
      </c>
      <c r="AJ8" s="229">
        <v>28</v>
      </c>
      <c r="AK8" s="229">
        <v>29</v>
      </c>
      <c r="AL8" s="230">
        <v>30</v>
      </c>
      <c r="AM8" s="51"/>
      <c r="AN8" s="50"/>
      <c r="AP8" s="179">
        <v>3</v>
      </c>
      <c r="AQ8" s="179">
        <v>1</v>
      </c>
      <c r="AR8" s="179">
        <v>5</v>
      </c>
    </row>
    <row r="9" spans="1:44" ht="15">
      <c r="A9" s="53" t="s">
        <v>63</v>
      </c>
      <c r="B9" s="61" t="s">
        <v>68</v>
      </c>
      <c r="C9" s="233">
        <v>100</v>
      </c>
      <c r="E9" s="50"/>
      <c r="F9" s="51"/>
      <c r="G9" s="206" t="s">
        <v>17</v>
      </c>
      <c r="H9" s="160"/>
      <c r="I9" s="196">
        <f>(1+$C$31)^(I8-1)</f>
        <v>1</v>
      </c>
      <c r="J9" s="196">
        <f aca="true" t="shared" si="0" ref="J9:AL9">(1+$C$31)^(J8-1)</f>
        <v>1.023</v>
      </c>
      <c r="K9" s="196">
        <f t="shared" si="0"/>
        <v>1.0465289999999998</v>
      </c>
      <c r="L9" s="196">
        <f t="shared" si="0"/>
        <v>1.0705991669999997</v>
      </c>
      <c r="M9" s="196">
        <f t="shared" si="0"/>
        <v>1.0952229478409996</v>
      </c>
      <c r="N9" s="196">
        <f t="shared" si="0"/>
        <v>1.1204130756413424</v>
      </c>
      <c r="O9" s="196">
        <f t="shared" si="0"/>
        <v>1.1461825763810933</v>
      </c>
      <c r="P9" s="196">
        <f t="shared" si="0"/>
        <v>1.1725447756378582</v>
      </c>
      <c r="Q9" s="196">
        <f t="shared" si="0"/>
        <v>1.1995133054775289</v>
      </c>
      <c r="R9" s="196">
        <f t="shared" si="0"/>
        <v>1.227102111503512</v>
      </c>
      <c r="S9" s="196">
        <f t="shared" si="0"/>
        <v>1.2553254600680925</v>
      </c>
      <c r="T9" s="196">
        <f t="shared" si="0"/>
        <v>1.2841979456496586</v>
      </c>
      <c r="U9" s="196">
        <f t="shared" si="0"/>
        <v>1.3137344983996007</v>
      </c>
      <c r="V9" s="196">
        <f t="shared" si="0"/>
        <v>1.3439503918627913</v>
      </c>
      <c r="W9" s="196">
        <f t="shared" si="0"/>
        <v>1.3748612508756355</v>
      </c>
      <c r="X9" s="196">
        <f t="shared" si="0"/>
        <v>1.4064830596457747</v>
      </c>
      <c r="Y9" s="196">
        <f t="shared" si="0"/>
        <v>1.4388321700176274</v>
      </c>
      <c r="Z9" s="196">
        <f t="shared" si="0"/>
        <v>1.4719253099280327</v>
      </c>
      <c r="AA9" s="196">
        <f t="shared" si="0"/>
        <v>1.5057795920563775</v>
      </c>
      <c r="AB9" s="196">
        <f t="shared" si="0"/>
        <v>1.5404125226736738</v>
      </c>
      <c r="AC9" s="196">
        <f t="shared" si="0"/>
        <v>1.5758420106951683</v>
      </c>
      <c r="AD9" s="196">
        <f t="shared" si="0"/>
        <v>1.6120863769411569</v>
      </c>
      <c r="AE9" s="196">
        <f t="shared" si="0"/>
        <v>1.6491643636108035</v>
      </c>
      <c r="AF9" s="196">
        <f t="shared" si="0"/>
        <v>1.6870951439738515</v>
      </c>
      <c r="AG9" s="196">
        <f t="shared" si="0"/>
        <v>1.7258983322852501</v>
      </c>
      <c r="AH9" s="196">
        <f t="shared" si="0"/>
        <v>1.7655939939278107</v>
      </c>
      <c r="AI9" s="196">
        <f t="shared" si="0"/>
        <v>1.80620265578815</v>
      </c>
      <c r="AJ9" s="196">
        <f t="shared" si="0"/>
        <v>1.8477453168712774</v>
      </c>
      <c r="AK9" s="196">
        <f t="shared" si="0"/>
        <v>1.8902434591593167</v>
      </c>
      <c r="AL9" s="231">
        <f t="shared" si="0"/>
        <v>1.9337190587199808</v>
      </c>
      <c r="AM9" s="51"/>
      <c r="AN9" s="50"/>
      <c r="AP9" s="179">
        <v>5</v>
      </c>
      <c r="AQ9" s="179">
        <v>2</v>
      </c>
      <c r="AR9" s="179">
        <v>7</v>
      </c>
    </row>
    <row r="10" spans="1:43" ht="15.75" thickBot="1">
      <c r="A10" s="57" t="s">
        <v>66</v>
      </c>
      <c r="B10" s="61" t="s">
        <v>65</v>
      </c>
      <c r="C10" s="58">
        <v>0.2</v>
      </c>
      <c r="D10" s="164"/>
      <c r="E10" s="50"/>
      <c r="F10" s="51"/>
      <c r="G10" s="215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244"/>
      <c r="AM10" s="51"/>
      <c r="AN10" s="50"/>
      <c r="AP10" s="179">
        <v>7</v>
      </c>
      <c r="AQ10" s="179">
        <v>3</v>
      </c>
    </row>
    <row r="11" spans="1:43" ht="15.75" thickBot="1">
      <c r="A11" s="57" t="s">
        <v>67</v>
      </c>
      <c r="B11" s="61" t="s">
        <v>65</v>
      </c>
      <c r="C11" s="58">
        <v>0.3</v>
      </c>
      <c r="D11" s="164"/>
      <c r="E11" s="50"/>
      <c r="F11" s="51"/>
      <c r="G11" s="70" t="s">
        <v>18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6"/>
      <c r="AM11" s="51"/>
      <c r="AN11" s="50"/>
      <c r="AP11" s="179">
        <v>10</v>
      </c>
      <c r="AQ11" s="179">
        <v>4</v>
      </c>
    </row>
    <row r="12" spans="1:43" ht="15">
      <c r="A12" s="78" t="s">
        <v>3</v>
      </c>
      <c r="B12" s="92"/>
      <c r="C12" s="66"/>
      <c r="D12" s="164"/>
      <c r="E12" s="50"/>
      <c r="F12" s="51"/>
      <c r="G12" s="203" t="s">
        <v>3</v>
      </c>
      <c r="H12" s="204"/>
      <c r="I12" s="18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244"/>
      <c r="AM12" s="51"/>
      <c r="AN12" s="50"/>
      <c r="AP12" s="179">
        <v>15</v>
      </c>
      <c r="AQ12" s="179">
        <v>5</v>
      </c>
    </row>
    <row r="13" spans="1:43" ht="15">
      <c r="A13" s="57" t="s">
        <v>69</v>
      </c>
      <c r="B13" s="93" t="s">
        <v>80</v>
      </c>
      <c r="C13" s="59">
        <v>50</v>
      </c>
      <c r="D13" s="164"/>
      <c r="E13" s="50"/>
      <c r="F13" s="51"/>
      <c r="G13" s="206" t="s">
        <v>19</v>
      </c>
      <c r="H13" s="160"/>
      <c r="I13" s="168">
        <f aca="true" t="shared" si="1" ref="I13:AL13">IF(I8&gt;$C$34,0,($C$18+$C$9*$C$10*$AQ$41*IF($C$23&lt;&gt;0,MAX((($C$23+1-I8)/$C$23),0),0)*12*1000)*$C$9*$C$10*I9*(1+0.0025)^(I8-1))</f>
        <v>2519483.1999999997</v>
      </c>
      <c r="J13" s="168">
        <f t="shared" si="1"/>
        <v>2596861.8957071993</v>
      </c>
      <c r="K13" s="168">
        <f t="shared" si="1"/>
        <v>2676550.112780147</v>
      </c>
      <c r="L13" s="168">
        <f t="shared" si="1"/>
        <v>2758615.359737711</v>
      </c>
      <c r="M13" s="168">
        <f t="shared" si="1"/>
        <v>2843127.0872501265</v>
      </c>
      <c r="N13" s="168">
        <f t="shared" si="1"/>
        <v>2930156.7433164553</v>
      </c>
      <c r="O13" s="168">
        <f t="shared" si="1"/>
        <v>3005044.224283765</v>
      </c>
      <c r="P13" s="168">
        <f t="shared" si="1"/>
        <v>3081845.6420458965</v>
      </c>
      <c r="Q13" s="168">
        <f t="shared" si="1"/>
        <v>3160609.912042484</v>
      </c>
      <c r="R13" s="168">
        <f t="shared" si="1"/>
        <v>3241387.19986951</v>
      </c>
      <c r="S13" s="168">
        <f t="shared" si="1"/>
        <v>3324228.9532301743</v>
      </c>
      <c r="T13" s="168">
        <f t="shared" si="1"/>
        <v>3409187.9347023536</v>
      </c>
      <c r="U13" s="168">
        <f t="shared" si="1"/>
        <v>3496318.255343509</v>
      </c>
      <c r="V13" s="168">
        <f t="shared" si="1"/>
        <v>3585675.4091544505</v>
      </c>
      <c r="W13" s="168">
        <f t="shared" si="1"/>
        <v>3677316.308423914</v>
      </c>
      <c r="X13" s="168">
        <f t="shared" si="1"/>
        <v>3771299.3199764574</v>
      </c>
      <c r="Y13" s="168">
        <f t="shared" si="1"/>
        <v>3867684.3023467558</v>
      </c>
      <c r="Z13" s="168">
        <f t="shared" si="1"/>
        <v>3966532.643903982</v>
      </c>
      <c r="AA13" s="168">
        <f t="shared" si="1"/>
        <v>4067907.3019505586</v>
      </c>
      <c r="AB13" s="168">
        <f t="shared" si="1"/>
        <v>4171872.842820158</v>
      </c>
      <c r="AC13" s="168">
        <f t="shared" si="1"/>
        <v>0</v>
      </c>
      <c r="AD13" s="168">
        <f t="shared" si="1"/>
        <v>0</v>
      </c>
      <c r="AE13" s="168">
        <f t="shared" si="1"/>
        <v>0</v>
      </c>
      <c r="AF13" s="168">
        <f t="shared" si="1"/>
        <v>0</v>
      </c>
      <c r="AG13" s="168">
        <f t="shared" si="1"/>
        <v>0</v>
      </c>
      <c r="AH13" s="168">
        <f t="shared" si="1"/>
        <v>0</v>
      </c>
      <c r="AI13" s="168">
        <f t="shared" si="1"/>
        <v>0</v>
      </c>
      <c r="AJ13" s="168">
        <f t="shared" si="1"/>
        <v>0</v>
      </c>
      <c r="AK13" s="168">
        <f t="shared" si="1"/>
        <v>0</v>
      </c>
      <c r="AL13" s="98">
        <f t="shared" si="1"/>
        <v>0</v>
      </c>
      <c r="AM13" s="51"/>
      <c r="AN13" s="50"/>
      <c r="AP13" s="179">
        <v>20</v>
      </c>
      <c r="AQ13" s="179">
        <v>6</v>
      </c>
    </row>
    <row r="14" spans="1:43" ht="15">
      <c r="A14" s="57" t="s">
        <v>100</v>
      </c>
      <c r="B14" s="125" t="s">
        <v>80</v>
      </c>
      <c r="C14" s="59">
        <v>23</v>
      </c>
      <c r="D14" s="164"/>
      <c r="E14" s="50"/>
      <c r="F14" s="51"/>
      <c r="G14" s="207" t="s">
        <v>2</v>
      </c>
      <c r="H14" s="159"/>
      <c r="I14" s="166">
        <f aca="true" t="shared" si="2" ref="I14:AL14">MAX(0,IF(I$8&gt;$C$34,0,IF($C$24=0,$C$16,IF($C$24=1,$C$16*I9,$C$16*(I9^$C$24)))))</f>
        <v>13140000</v>
      </c>
      <c r="J14" s="166">
        <f t="shared" si="2"/>
        <v>13442219.999999998</v>
      </c>
      <c r="K14" s="166">
        <f t="shared" si="2"/>
        <v>13751391.059999997</v>
      </c>
      <c r="L14" s="166">
        <f t="shared" si="2"/>
        <v>14067673.054379996</v>
      </c>
      <c r="M14" s="166">
        <f t="shared" si="2"/>
        <v>14391229.534630734</v>
      </c>
      <c r="N14" s="166">
        <f t="shared" si="2"/>
        <v>14722227.813927239</v>
      </c>
      <c r="O14" s="166">
        <f t="shared" si="2"/>
        <v>15060839.053647567</v>
      </c>
      <c r="P14" s="166">
        <f t="shared" si="2"/>
        <v>15407238.351881457</v>
      </c>
      <c r="Q14" s="166">
        <f t="shared" si="2"/>
        <v>15761604.83397473</v>
      </c>
      <c r="R14" s="166">
        <f t="shared" si="2"/>
        <v>16124121.745156147</v>
      </c>
      <c r="S14" s="166">
        <f t="shared" si="2"/>
        <v>16494976.545294736</v>
      </c>
      <c r="T14" s="166">
        <f t="shared" si="2"/>
        <v>16874361.005836513</v>
      </c>
      <c r="U14" s="166">
        <f t="shared" si="2"/>
        <v>17262471.308970753</v>
      </c>
      <c r="V14" s="166">
        <f t="shared" si="2"/>
        <v>17659508.149077076</v>
      </c>
      <c r="W14" s="166">
        <f t="shared" si="2"/>
        <v>18065676.83650585</v>
      </c>
      <c r="X14" s="166">
        <f t="shared" si="2"/>
        <v>18481187.40374548</v>
      </c>
      <c r="Y14" s="166">
        <f t="shared" si="2"/>
        <v>18906254.714031626</v>
      </c>
      <c r="Z14" s="166">
        <f t="shared" si="2"/>
        <v>19341098.57245435</v>
      </c>
      <c r="AA14" s="166">
        <f t="shared" si="2"/>
        <v>19785943.8396208</v>
      </c>
      <c r="AB14" s="166">
        <f t="shared" si="2"/>
        <v>20241020.547932073</v>
      </c>
      <c r="AC14" s="166">
        <f t="shared" si="2"/>
        <v>0</v>
      </c>
      <c r="AD14" s="166">
        <f t="shared" si="2"/>
        <v>0</v>
      </c>
      <c r="AE14" s="166">
        <f t="shared" si="2"/>
        <v>0</v>
      </c>
      <c r="AF14" s="166">
        <f t="shared" si="2"/>
        <v>0</v>
      </c>
      <c r="AG14" s="166">
        <f t="shared" si="2"/>
        <v>0</v>
      </c>
      <c r="AH14" s="166">
        <f t="shared" si="2"/>
        <v>0</v>
      </c>
      <c r="AI14" s="166">
        <f t="shared" si="2"/>
        <v>0</v>
      </c>
      <c r="AJ14" s="166">
        <f t="shared" si="2"/>
        <v>0</v>
      </c>
      <c r="AK14" s="166">
        <f t="shared" si="2"/>
        <v>0</v>
      </c>
      <c r="AL14" s="249">
        <f t="shared" si="2"/>
        <v>0</v>
      </c>
      <c r="AM14" s="51"/>
      <c r="AN14" s="50"/>
      <c r="AP14" s="179"/>
      <c r="AQ14" s="179">
        <v>7</v>
      </c>
    </row>
    <row r="15" spans="1:43" ht="15">
      <c r="A15" s="57" t="s">
        <v>137</v>
      </c>
      <c r="B15" s="125" t="s">
        <v>80</v>
      </c>
      <c r="C15" s="59">
        <v>25</v>
      </c>
      <c r="D15" s="164"/>
      <c r="E15" s="50"/>
      <c r="F15" s="51"/>
      <c r="G15" s="207" t="s">
        <v>135</v>
      </c>
      <c r="H15" s="159"/>
      <c r="I15" s="166">
        <f aca="true" t="shared" si="3" ref="I15:AL15">MAX(0,IF(I$8&gt;$C$34,0,IF($C$24=0,$C$17,IF($C$24=1,$C$17*I9,$C$17*(I9^$C$24)))))</f>
        <v>6570000</v>
      </c>
      <c r="J15" s="166">
        <f t="shared" si="3"/>
        <v>6721109.999999999</v>
      </c>
      <c r="K15" s="166">
        <f t="shared" si="3"/>
        <v>6875695.529999998</v>
      </c>
      <c r="L15" s="166">
        <f t="shared" si="3"/>
        <v>7033836.527189998</v>
      </c>
      <c r="M15" s="166">
        <f t="shared" si="3"/>
        <v>7195614.767315367</v>
      </c>
      <c r="N15" s="166">
        <f t="shared" si="3"/>
        <v>7361113.906963619</v>
      </c>
      <c r="O15" s="166">
        <f t="shared" si="3"/>
        <v>7530419.526823783</v>
      </c>
      <c r="P15" s="166">
        <f t="shared" si="3"/>
        <v>7703619.175940729</v>
      </c>
      <c r="Q15" s="166">
        <f t="shared" si="3"/>
        <v>7880802.416987365</v>
      </c>
      <c r="R15" s="166">
        <f t="shared" si="3"/>
        <v>8062060.872578073</v>
      </c>
      <c r="S15" s="166">
        <f t="shared" si="3"/>
        <v>8247488.272647368</v>
      </c>
      <c r="T15" s="166">
        <f t="shared" si="3"/>
        <v>8437180.502918256</v>
      </c>
      <c r="U15" s="166">
        <f t="shared" si="3"/>
        <v>8631235.654485377</v>
      </c>
      <c r="V15" s="166">
        <f t="shared" si="3"/>
        <v>8829754.074538538</v>
      </c>
      <c r="W15" s="166">
        <f t="shared" si="3"/>
        <v>9032838.418252924</v>
      </c>
      <c r="X15" s="166">
        <f t="shared" si="3"/>
        <v>9240593.70187274</v>
      </c>
      <c r="Y15" s="166">
        <f t="shared" si="3"/>
        <v>9453127.357015813</v>
      </c>
      <c r="Z15" s="166">
        <f t="shared" si="3"/>
        <v>9670549.286227174</v>
      </c>
      <c r="AA15" s="166">
        <f t="shared" si="3"/>
        <v>9892971.9198104</v>
      </c>
      <c r="AB15" s="166">
        <f t="shared" si="3"/>
        <v>10120510.273966037</v>
      </c>
      <c r="AC15" s="166">
        <f t="shared" si="3"/>
        <v>0</v>
      </c>
      <c r="AD15" s="166">
        <f t="shared" si="3"/>
        <v>0</v>
      </c>
      <c r="AE15" s="166">
        <f t="shared" si="3"/>
        <v>0</v>
      </c>
      <c r="AF15" s="166">
        <f t="shared" si="3"/>
        <v>0</v>
      </c>
      <c r="AG15" s="166">
        <f t="shared" si="3"/>
        <v>0</v>
      </c>
      <c r="AH15" s="166">
        <f t="shared" si="3"/>
        <v>0</v>
      </c>
      <c r="AI15" s="166">
        <f t="shared" si="3"/>
        <v>0</v>
      </c>
      <c r="AJ15" s="166">
        <f t="shared" si="3"/>
        <v>0</v>
      </c>
      <c r="AK15" s="166">
        <f t="shared" si="3"/>
        <v>0</v>
      </c>
      <c r="AL15" s="249">
        <f t="shared" si="3"/>
        <v>0</v>
      </c>
      <c r="AM15" s="51"/>
      <c r="AN15" s="50"/>
      <c r="AP15" s="179"/>
      <c r="AQ15" s="179">
        <v>8</v>
      </c>
    </row>
    <row r="16" spans="1:43" ht="15.75" thickBot="1">
      <c r="A16" s="53" t="s">
        <v>70</v>
      </c>
      <c r="B16" s="172" t="s">
        <v>89</v>
      </c>
      <c r="C16" s="235">
        <f>C13*C11*C9*8760</f>
        <v>13140000</v>
      </c>
      <c r="D16" s="164"/>
      <c r="E16" s="50"/>
      <c r="F16" s="51"/>
      <c r="G16" s="208" t="s">
        <v>20</v>
      </c>
      <c r="H16" s="157"/>
      <c r="I16" s="191">
        <f>SUM(I13:I15)</f>
        <v>22229483.2</v>
      </c>
      <c r="J16" s="191">
        <f aca="true" t="shared" si="4" ref="J16:AL16">SUM(J13:J15)</f>
        <v>22760191.895707197</v>
      </c>
      <c r="K16" s="191">
        <f t="shared" si="4"/>
        <v>23303636.702780142</v>
      </c>
      <c r="L16" s="191">
        <f t="shared" si="4"/>
        <v>23860124.94130771</v>
      </c>
      <c r="M16" s="191">
        <f t="shared" si="4"/>
        <v>24429971.389196225</v>
      </c>
      <c r="N16" s="191">
        <f t="shared" si="4"/>
        <v>25013498.464207314</v>
      </c>
      <c r="O16" s="191">
        <f t="shared" si="4"/>
        <v>25596302.804755114</v>
      </c>
      <c r="P16" s="191">
        <f t="shared" si="4"/>
        <v>26192703.16986808</v>
      </c>
      <c r="Q16" s="191">
        <f t="shared" si="4"/>
        <v>26803017.163004577</v>
      </c>
      <c r="R16" s="191">
        <f t="shared" si="4"/>
        <v>27427569.81760373</v>
      </c>
      <c r="S16" s="191">
        <f t="shared" si="4"/>
        <v>28066693.771172278</v>
      </c>
      <c r="T16" s="191">
        <f t="shared" si="4"/>
        <v>28720729.443457127</v>
      </c>
      <c r="U16" s="191">
        <f t="shared" si="4"/>
        <v>29390025.218799636</v>
      </c>
      <c r="V16" s="191">
        <f t="shared" si="4"/>
        <v>30074937.63277006</v>
      </c>
      <c r="W16" s="191">
        <f t="shared" si="4"/>
        <v>30775831.56318269</v>
      </c>
      <c r="X16" s="191">
        <f t="shared" si="4"/>
        <v>31493080.425594676</v>
      </c>
      <c r="Y16" s="191">
        <f t="shared" si="4"/>
        <v>32227066.37339419</v>
      </c>
      <c r="Z16" s="191">
        <f t="shared" si="4"/>
        <v>32978180.502585504</v>
      </c>
      <c r="AA16" s="191">
        <f t="shared" si="4"/>
        <v>33746823.06138176</v>
      </c>
      <c r="AB16" s="191">
        <f t="shared" si="4"/>
        <v>34533403.66471827</v>
      </c>
      <c r="AC16" s="191">
        <f t="shared" si="4"/>
        <v>0</v>
      </c>
      <c r="AD16" s="191">
        <f t="shared" si="4"/>
        <v>0</v>
      </c>
      <c r="AE16" s="191">
        <f t="shared" si="4"/>
        <v>0</v>
      </c>
      <c r="AF16" s="191">
        <f t="shared" si="4"/>
        <v>0</v>
      </c>
      <c r="AG16" s="191">
        <f t="shared" si="4"/>
        <v>0</v>
      </c>
      <c r="AH16" s="191">
        <f t="shared" si="4"/>
        <v>0</v>
      </c>
      <c r="AI16" s="191">
        <f t="shared" si="4"/>
        <v>0</v>
      </c>
      <c r="AJ16" s="191">
        <f t="shared" si="4"/>
        <v>0</v>
      </c>
      <c r="AK16" s="191">
        <f t="shared" si="4"/>
        <v>0</v>
      </c>
      <c r="AL16" s="84">
        <f t="shared" si="4"/>
        <v>0</v>
      </c>
      <c r="AM16" s="51"/>
      <c r="AN16" s="50"/>
      <c r="AP16" s="179"/>
      <c r="AQ16" s="179">
        <v>9</v>
      </c>
    </row>
    <row r="17" spans="1:43" ht="15.75" thickTop="1">
      <c r="A17" s="57" t="s">
        <v>135</v>
      </c>
      <c r="B17" s="172" t="s">
        <v>89</v>
      </c>
      <c r="C17" s="235">
        <f>C15*C11*C9*8760</f>
        <v>6570000</v>
      </c>
      <c r="D17" s="174"/>
      <c r="E17" s="50"/>
      <c r="F17" s="51"/>
      <c r="G17" s="209" t="s">
        <v>4</v>
      </c>
      <c r="H17" s="199"/>
      <c r="I17" s="165"/>
      <c r="J17" s="158"/>
      <c r="K17" s="158"/>
      <c r="L17" s="158"/>
      <c r="M17" s="158"/>
      <c r="N17" s="158"/>
      <c r="O17" s="158"/>
      <c r="P17" s="158"/>
      <c r="Q17" s="158"/>
      <c r="R17" s="158"/>
      <c r="S17" s="64"/>
      <c r="T17" s="79"/>
      <c r="U17" s="64"/>
      <c r="V17" s="64"/>
      <c r="W17" s="64"/>
      <c r="X17" s="64"/>
      <c r="Y17" s="64"/>
      <c r="Z17" s="158"/>
      <c r="AA17" s="158"/>
      <c r="AB17" s="158"/>
      <c r="AC17" s="158"/>
      <c r="AD17" s="158"/>
      <c r="AE17" s="158"/>
      <c r="AF17" s="158"/>
      <c r="AG17" s="158"/>
      <c r="AH17" s="158"/>
      <c r="AI17" s="64"/>
      <c r="AJ17" s="79"/>
      <c r="AK17" s="64"/>
      <c r="AL17" s="242"/>
      <c r="AM17" s="51"/>
      <c r="AN17" s="50"/>
      <c r="AP17" s="179"/>
      <c r="AQ17" s="179">
        <v>10</v>
      </c>
    </row>
    <row r="18" spans="1:43" ht="15">
      <c r="A18" s="57" t="s">
        <v>47</v>
      </c>
      <c r="B18" s="172" t="s">
        <v>87</v>
      </c>
      <c r="C18" s="87">
        <f>'ICAP Price&amp;Impact'!O47</f>
        <v>129139.99999999999</v>
      </c>
      <c r="E18" s="50"/>
      <c r="F18" s="51"/>
      <c r="G18" s="206" t="s">
        <v>5</v>
      </c>
      <c r="H18" s="160"/>
      <c r="I18" s="168">
        <f>IF(I8&gt;$C$34,0,-$C$38)</f>
        <v>-5400000</v>
      </c>
      <c r="J18" s="152">
        <f aca="true" t="shared" si="5" ref="J18:AL18">IF(J8&gt;$C$34,0,$I$18*J9)</f>
        <v>-5524199.999999999</v>
      </c>
      <c r="K18" s="152">
        <f t="shared" si="5"/>
        <v>-5651256.599999999</v>
      </c>
      <c r="L18" s="152">
        <f t="shared" si="5"/>
        <v>-5781235.501799998</v>
      </c>
      <c r="M18" s="152">
        <f t="shared" si="5"/>
        <v>-5914203.918341398</v>
      </c>
      <c r="N18" s="152">
        <f t="shared" si="5"/>
        <v>-6050230.608463249</v>
      </c>
      <c r="O18" s="152">
        <f t="shared" si="5"/>
        <v>-6189385.912457904</v>
      </c>
      <c r="P18" s="152">
        <f t="shared" si="5"/>
        <v>-6331741.788444434</v>
      </c>
      <c r="Q18" s="152">
        <f t="shared" si="5"/>
        <v>-6477371.849578656</v>
      </c>
      <c r="R18" s="152">
        <f t="shared" si="5"/>
        <v>-6626351.402118964</v>
      </c>
      <c r="S18" s="80">
        <f t="shared" si="5"/>
        <v>-6778757.484367699</v>
      </c>
      <c r="T18" s="80">
        <f t="shared" si="5"/>
        <v>-6934668.906508156</v>
      </c>
      <c r="U18" s="80">
        <f t="shared" si="5"/>
        <v>-7094166.291357843</v>
      </c>
      <c r="V18" s="80">
        <f t="shared" si="5"/>
        <v>-7257332.116059073</v>
      </c>
      <c r="W18" s="80">
        <f t="shared" si="5"/>
        <v>-7424250.754728432</v>
      </c>
      <c r="X18" s="80">
        <f t="shared" si="5"/>
        <v>-7595008.522087184</v>
      </c>
      <c r="Y18" s="80">
        <f t="shared" si="5"/>
        <v>-7769693.718095188</v>
      </c>
      <c r="Z18" s="80">
        <f t="shared" si="5"/>
        <v>-7948396.673611376</v>
      </c>
      <c r="AA18" s="80">
        <f t="shared" si="5"/>
        <v>-8131209.797104438</v>
      </c>
      <c r="AB18" s="80">
        <f t="shared" si="5"/>
        <v>-8318227.622437838</v>
      </c>
      <c r="AC18" s="80">
        <f t="shared" si="5"/>
        <v>0</v>
      </c>
      <c r="AD18" s="80">
        <f t="shared" si="5"/>
        <v>0</v>
      </c>
      <c r="AE18" s="80">
        <f t="shared" si="5"/>
        <v>0</v>
      </c>
      <c r="AF18" s="80">
        <f t="shared" si="5"/>
        <v>0</v>
      </c>
      <c r="AG18" s="80">
        <f t="shared" si="5"/>
        <v>0</v>
      </c>
      <c r="AH18" s="80">
        <f t="shared" si="5"/>
        <v>0</v>
      </c>
      <c r="AI18" s="80">
        <f t="shared" si="5"/>
        <v>0</v>
      </c>
      <c r="AJ18" s="80">
        <f t="shared" si="5"/>
        <v>0</v>
      </c>
      <c r="AK18" s="80">
        <f t="shared" si="5"/>
        <v>0</v>
      </c>
      <c r="AL18" s="241">
        <f t="shared" si="5"/>
        <v>0</v>
      </c>
      <c r="AM18" s="51"/>
      <c r="AN18" s="50"/>
      <c r="AQ18" s="179">
        <v>11</v>
      </c>
    </row>
    <row r="19" spans="1:43" ht="15">
      <c r="A19" s="57" t="s">
        <v>101</v>
      </c>
      <c r="B19" s="162" t="s">
        <v>65</v>
      </c>
      <c r="C19" s="240">
        <v>1</v>
      </c>
      <c r="D19" s="174"/>
      <c r="E19" s="50"/>
      <c r="F19" s="51"/>
      <c r="G19" s="206" t="s">
        <v>6</v>
      </c>
      <c r="H19" s="160"/>
      <c r="I19" s="166">
        <f>IF(I8&gt;$C$34,0,-$C$39)</f>
        <v>0</v>
      </c>
      <c r="J19" s="200">
        <f aca="true" t="shared" si="6" ref="J19:AL19">IF(J8&gt;$C$34,0,$I$19*J9)</f>
        <v>0</v>
      </c>
      <c r="K19" s="200">
        <f t="shared" si="6"/>
        <v>0</v>
      </c>
      <c r="L19" s="200">
        <f t="shared" si="6"/>
        <v>0</v>
      </c>
      <c r="M19" s="200">
        <f t="shared" si="6"/>
        <v>0</v>
      </c>
      <c r="N19" s="200">
        <f t="shared" si="6"/>
        <v>0</v>
      </c>
      <c r="O19" s="200">
        <f t="shared" si="6"/>
        <v>0</v>
      </c>
      <c r="P19" s="200">
        <f t="shared" si="6"/>
        <v>0</v>
      </c>
      <c r="Q19" s="200">
        <f t="shared" si="6"/>
        <v>0</v>
      </c>
      <c r="R19" s="200">
        <f t="shared" si="6"/>
        <v>0</v>
      </c>
      <c r="S19" s="89">
        <f t="shared" si="6"/>
        <v>0</v>
      </c>
      <c r="T19" s="89">
        <f t="shared" si="6"/>
        <v>0</v>
      </c>
      <c r="U19" s="89">
        <f t="shared" si="6"/>
        <v>0</v>
      </c>
      <c r="V19" s="89">
        <f t="shared" si="6"/>
        <v>0</v>
      </c>
      <c r="W19" s="89">
        <f t="shared" si="6"/>
        <v>0</v>
      </c>
      <c r="X19" s="89">
        <f t="shared" si="6"/>
        <v>0</v>
      </c>
      <c r="Y19" s="89">
        <f t="shared" si="6"/>
        <v>0</v>
      </c>
      <c r="Z19" s="89">
        <f t="shared" si="6"/>
        <v>0</v>
      </c>
      <c r="AA19" s="89">
        <f t="shared" si="6"/>
        <v>0</v>
      </c>
      <c r="AB19" s="89">
        <f t="shared" si="6"/>
        <v>0</v>
      </c>
      <c r="AC19" s="89">
        <f t="shared" si="6"/>
        <v>0</v>
      </c>
      <c r="AD19" s="89">
        <f t="shared" si="6"/>
        <v>0</v>
      </c>
      <c r="AE19" s="89">
        <f t="shared" si="6"/>
        <v>0</v>
      </c>
      <c r="AF19" s="89">
        <f t="shared" si="6"/>
        <v>0</v>
      </c>
      <c r="AG19" s="89">
        <f t="shared" si="6"/>
        <v>0</v>
      </c>
      <c r="AH19" s="89">
        <f t="shared" si="6"/>
        <v>0</v>
      </c>
      <c r="AI19" s="89">
        <f t="shared" si="6"/>
        <v>0</v>
      </c>
      <c r="AJ19" s="89">
        <f t="shared" si="6"/>
        <v>0</v>
      </c>
      <c r="AK19" s="89">
        <f t="shared" si="6"/>
        <v>0</v>
      </c>
      <c r="AL19" s="241">
        <f t="shared" si="6"/>
        <v>0</v>
      </c>
      <c r="AM19" s="51"/>
      <c r="AN19" s="50"/>
      <c r="AQ19" s="179">
        <v>12</v>
      </c>
    </row>
    <row r="20" spans="1:43" ht="15">
      <c r="A20" s="57" t="s">
        <v>102</v>
      </c>
      <c r="B20" s="162" t="s">
        <v>65</v>
      </c>
      <c r="C20" s="240">
        <v>1</v>
      </c>
      <c r="D20" s="174"/>
      <c r="E20" s="50"/>
      <c r="F20" s="51"/>
      <c r="G20" s="206" t="s">
        <v>7</v>
      </c>
      <c r="H20" s="160"/>
      <c r="I20" s="166">
        <f aca="true" t="shared" si="7" ref="I20:AL20">IF(I8&gt;$C$34,0,-$C$40)</f>
        <v>0</v>
      </c>
      <c r="J20" s="166">
        <f t="shared" si="7"/>
        <v>0</v>
      </c>
      <c r="K20" s="166">
        <f t="shared" si="7"/>
        <v>0</v>
      </c>
      <c r="L20" s="166">
        <f t="shared" si="7"/>
        <v>0</v>
      </c>
      <c r="M20" s="166">
        <f t="shared" si="7"/>
        <v>0</v>
      </c>
      <c r="N20" s="166">
        <f t="shared" si="7"/>
        <v>0</v>
      </c>
      <c r="O20" s="166">
        <f t="shared" si="7"/>
        <v>0</v>
      </c>
      <c r="P20" s="166">
        <f t="shared" si="7"/>
        <v>0</v>
      </c>
      <c r="Q20" s="166">
        <f t="shared" si="7"/>
        <v>0</v>
      </c>
      <c r="R20" s="166">
        <f t="shared" si="7"/>
        <v>0</v>
      </c>
      <c r="S20" s="72">
        <f t="shared" si="7"/>
        <v>0</v>
      </c>
      <c r="T20" s="72">
        <f t="shared" si="7"/>
        <v>0</v>
      </c>
      <c r="U20" s="72">
        <f t="shared" si="7"/>
        <v>0</v>
      </c>
      <c r="V20" s="72">
        <f t="shared" si="7"/>
        <v>0</v>
      </c>
      <c r="W20" s="72">
        <f t="shared" si="7"/>
        <v>0</v>
      </c>
      <c r="X20" s="72">
        <f t="shared" si="7"/>
        <v>0</v>
      </c>
      <c r="Y20" s="72">
        <f t="shared" si="7"/>
        <v>0</v>
      </c>
      <c r="Z20" s="166">
        <f t="shared" si="7"/>
        <v>0</v>
      </c>
      <c r="AA20" s="166">
        <f t="shared" si="7"/>
        <v>0</v>
      </c>
      <c r="AB20" s="166">
        <f t="shared" si="7"/>
        <v>0</v>
      </c>
      <c r="AC20" s="166">
        <f t="shared" si="7"/>
        <v>0</v>
      </c>
      <c r="AD20" s="166">
        <f t="shared" si="7"/>
        <v>0</v>
      </c>
      <c r="AE20" s="166">
        <f t="shared" si="7"/>
        <v>0</v>
      </c>
      <c r="AF20" s="166">
        <f t="shared" si="7"/>
        <v>0</v>
      </c>
      <c r="AG20" s="166">
        <f t="shared" si="7"/>
        <v>0</v>
      </c>
      <c r="AH20" s="166">
        <f t="shared" si="7"/>
        <v>0</v>
      </c>
      <c r="AI20" s="72">
        <f t="shared" si="7"/>
        <v>0</v>
      </c>
      <c r="AJ20" s="72">
        <f t="shared" si="7"/>
        <v>0</v>
      </c>
      <c r="AK20" s="72">
        <f t="shared" si="7"/>
        <v>0</v>
      </c>
      <c r="AL20" s="241">
        <f t="shared" si="7"/>
        <v>0</v>
      </c>
      <c r="AM20" s="51"/>
      <c r="AN20" s="50"/>
      <c r="AQ20" s="179">
        <v>13</v>
      </c>
    </row>
    <row r="21" spans="1:43" ht="15">
      <c r="A21" s="57" t="s">
        <v>103</v>
      </c>
      <c r="B21" s="162" t="s">
        <v>65</v>
      </c>
      <c r="C21" s="240">
        <v>1</v>
      </c>
      <c r="D21" s="174"/>
      <c r="E21" s="50"/>
      <c r="F21" s="51"/>
      <c r="G21" s="560" t="s">
        <v>152</v>
      </c>
      <c r="H21" s="160"/>
      <c r="I21" s="166">
        <f>IF(I8&gt;$C$34,0,-$C$41)</f>
        <v>0</v>
      </c>
      <c r="J21" s="166">
        <f aca="true" t="shared" si="8" ref="J21:AL21">IF(J8&gt;$C$34,0,-$C$41)</f>
        <v>0</v>
      </c>
      <c r="K21" s="166">
        <f t="shared" si="8"/>
        <v>0</v>
      </c>
      <c r="L21" s="166">
        <f t="shared" si="8"/>
        <v>0</v>
      </c>
      <c r="M21" s="166">
        <f t="shared" si="8"/>
        <v>0</v>
      </c>
      <c r="N21" s="166">
        <f t="shared" si="8"/>
        <v>0</v>
      </c>
      <c r="O21" s="166">
        <f t="shared" si="8"/>
        <v>0</v>
      </c>
      <c r="P21" s="166">
        <f t="shared" si="8"/>
        <v>0</v>
      </c>
      <c r="Q21" s="166">
        <f t="shared" si="8"/>
        <v>0</v>
      </c>
      <c r="R21" s="166">
        <f t="shared" si="8"/>
        <v>0</v>
      </c>
      <c r="S21" s="72">
        <f t="shared" si="8"/>
        <v>0</v>
      </c>
      <c r="T21" s="72">
        <f t="shared" si="8"/>
        <v>0</v>
      </c>
      <c r="U21" s="72">
        <f t="shared" si="8"/>
        <v>0</v>
      </c>
      <c r="V21" s="72">
        <f t="shared" si="8"/>
        <v>0</v>
      </c>
      <c r="W21" s="72">
        <f t="shared" si="8"/>
        <v>0</v>
      </c>
      <c r="X21" s="72">
        <f t="shared" si="8"/>
        <v>0</v>
      </c>
      <c r="Y21" s="72">
        <f t="shared" si="8"/>
        <v>0</v>
      </c>
      <c r="Z21" s="166">
        <f t="shared" si="8"/>
        <v>0</v>
      </c>
      <c r="AA21" s="166">
        <f t="shared" si="8"/>
        <v>0</v>
      </c>
      <c r="AB21" s="166">
        <f t="shared" si="8"/>
        <v>0</v>
      </c>
      <c r="AC21" s="166">
        <f t="shared" si="8"/>
        <v>0</v>
      </c>
      <c r="AD21" s="166">
        <f t="shared" si="8"/>
        <v>0</v>
      </c>
      <c r="AE21" s="166">
        <f t="shared" si="8"/>
        <v>0</v>
      </c>
      <c r="AF21" s="166">
        <f t="shared" si="8"/>
        <v>0</v>
      </c>
      <c r="AG21" s="166">
        <f t="shared" si="8"/>
        <v>0</v>
      </c>
      <c r="AH21" s="166">
        <f t="shared" si="8"/>
        <v>0</v>
      </c>
      <c r="AI21" s="72">
        <f t="shared" si="8"/>
        <v>0</v>
      </c>
      <c r="AJ21" s="72">
        <f t="shared" si="8"/>
        <v>0</v>
      </c>
      <c r="AK21" s="72">
        <f t="shared" si="8"/>
        <v>0</v>
      </c>
      <c r="AL21" s="241">
        <f t="shared" si="8"/>
        <v>0</v>
      </c>
      <c r="AM21" s="51"/>
      <c r="AN21" s="50"/>
      <c r="AQ21" s="179">
        <v>14</v>
      </c>
    </row>
    <row r="22" spans="1:43" ht="15.75" thickBot="1">
      <c r="A22" s="53" t="s">
        <v>78</v>
      </c>
      <c r="B22" s="61"/>
      <c r="C22" s="245">
        <f>-C19*'ICAP Price&amp;Impact'!$P$57-C20*'ICAP Price&amp;Impact'!P38-C21*'ICAP Price&amp;Impact'!P19</f>
        <v>226689648.10000014</v>
      </c>
      <c r="D22" s="175"/>
      <c r="E22" s="50"/>
      <c r="F22" s="51"/>
      <c r="G22" s="210" t="s">
        <v>21</v>
      </c>
      <c r="H22" s="156"/>
      <c r="I22" s="193">
        <f>SUM(I18:I21)</f>
        <v>-5400000</v>
      </c>
      <c r="J22" s="194">
        <f aca="true" t="shared" si="9" ref="J22:AL22">SUM(J18:J21)</f>
        <v>-5524199.999999999</v>
      </c>
      <c r="K22" s="194">
        <f t="shared" si="9"/>
        <v>-5651256.599999999</v>
      </c>
      <c r="L22" s="194">
        <f t="shared" si="9"/>
        <v>-5781235.501799998</v>
      </c>
      <c r="M22" s="194">
        <f t="shared" si="9"/>
        <v>-5914203.918341398</v>
      </c>
      <c r="N22" s="194">
        <f t="shared" si="9"/>
        <v>-6050230.608463249</v>
      </c>
      <c r="O22" s="194">
        <f t="shared" si="9"/>
        <v>-6189385.912457904</v>
      </c>
      <c r="P22" s="194">
        <f t="shared" si="9"/>
        <v>-6331741.788444434</v>
      </c>
      <c r="Q22" s="194">
        <f t="shared" si="9"/>
        <v>-6477371.849578656</v>
      </c>
      <c r="R22" s="194">
        <f t="shared" si="9"/>
        <v>-6626351.402118964</v>
      </c>
      <c r="S22" s="67">
        <f t="shared" si="9"/>
        <v>-6778757.484367699</v>
      </c>
      <c r="T22" s="67">
        <f t="shared" si="9"/>
        <v>-6934668.906508156</v>
      </c>
      <c r="U22" s="67">
        <f t="shared" si="9"/>
        <v>-7094166.291357843</v>
      </c>
      <c r="V22" s="67">
        <f t="shared" si="9"/>
        <v>-7257332.116059073</v>
      </c>
      <c r="W22" s="67">
        <f t="shared" si="9"/>
        <v>-7424250.754728432</v>
      </c>
      <c r="X22" s="67">
        <f t="shared" si="9"/>
        <v>-7595008.522087184</v>
      </c>
      <c r="Y22" s="67">
        <f t="shared" si="9"/>
        <v>-7769693.718095188</v>
      </c>
      <c r="Z22" s="194">
        <f t="shared" si="9"/>
        <v>-7948396.673611376</v>
      </c>
      <c r="AA22" s="194">
        <f t="shared" si="9"/>
        <v>-8131209.797104438</v>
      </c>
      <c r="AB22" s="194">
        <f t="shared" si="9"/>
        <v>-8318227.622437838</v>
      </c>
      <c r="AC22" s="194">
        <f t="shared" si="9"/>
        <v>0</v>
      </c>
      <c r="AD22" s="194">
        <f t="shared" si="9"/>
        <v>0</v>
      </c>
      <c r="AE22" s="194">
        <f t="shared" si="9"/>
        <v>0</v>
      </c>
      <c r="AF22" s="194">
        <f t="shared" si="9"/>
        <v>0</v>
      </c>
      <c r="AG22" s="194">
        <f t="shared" si="9"/>
        <v>0</v>
      </c>
      <c r="AH22" s="194">
        <f t="shared" si="9"/>
        <v>0</v>
      </c>
      <c r="AI22" s="67">
        <f t="shared" si="9"/>
        <v>0</v>
      </c>
      <c r="AJ22" s="67">
        <f t="shared" si="9"/>
        <v>0</v>
      </c>
      <c r="AK22" s="67">
        <f t="shared" si="9"/>
        <v>0</v>
      </c>
      <c r="AL22" s="243">
        <f t="shared" si="9"/>
        <v>0</v>
      </c>
      <c r="AM22" s="51"/>
      <c r="AN22" s="50"/>
      <c r="AQ22" s="179">
        <v>15</v>
      </c>
    </row>
    <row r="23" spans="1:43" ht="15.75" thickTop="1">
      <c r="A23" s="57" t="s">
        <v>76</v>
      </c>
      <c r="B23" s="178" t="s">
        <v>88</v>
      </c>
      <c r="C23" s="247">
        <v>5</v>
      </c>
      <c r="D23" s="175"/>
      <c r="E23" s="50"/>
      <c r="F23" s="51"/>
      <c r="G23" s="211"/>
      <c r="H23" s="158"/>
      <c r="I23" s="165"/>
      <c r="J23" s="158"/>
      <c r="K23" s="158"/>
      <c r="L23" s="158"/>
      <c r="M23" s="158"/>
      <c r="N23" s="158"/>
      <c r="O23" s="158"/>
      <c r="P23" s="158"/>
      <c r="Q23" s="158"/>
      <c r="R23" s="158"/>
      <c r="S23" s="64"/>
      <c r="T23" s="64"/>
      <c r="U23" s="64"/>
      <c r="V23" s="64"/>
      <c r="W23" s="64"/>
      <c r="X23" s="64"/>
      <c r="Y23" s="64"/>
      <c r="Z23" s="158"/>
      <c r="AA23" s="158"/>
      <c r="AB23" s="158"/>
      <c r="AC23" s="158"/>
      <c r="AD23" s="158"/>
      <c r="AE23" s="158"/>
      <c r="AF23" s="158"/>
      <c r="AG23" s="158"/>
      <c r="AH23" s="158"/>
      <c r="AI23" s="64"/>
      <c r="AJ23" s="64"/>
      <c r="AK23" s="64"/>
      <c r="AL23" s="242"/>
      <c r="AM23" s="51"/>
      <c r="AN23" s="50"/>
      <c r="AQ23" s="179">
        <v>16</v>
      </c>
    </row>
    <row r="24" spans="1:43" ht="15">
      <c r="A24" s="53" t="s">
        <v>48</v>
      </c>
      <c r="B24" s="172"/>
      <c r="C24" s="248">
        <v>1</v>
      </c>
      <c r="D24" s="175"/>
      <c r="E24" s="50"/>
      <c r="F24" s="51"/>
      <c r="G24" s="206" t="s">
        <v>22</v>
      </c>
      <c r="H24" s="160"/>
      <c r="I24" s="168">
        <f aca="true" t="shared" si="10" ref="I24:AL24">I16+I22</f>
        <v>16829483.2</v>
      </c>
      <c r="J24" s="152">
        <f t="shared" si="10"/>
        <v>17235991.895707197</v>
      </c>
      <c r="K24" s="152">
        <f t="shared" si="10"/>
        <v>17652380.102780145</v>
      </c>
      <c r="L24" s="152">
        <f t="shared" si="10"/>
        <v>18078889.43950771</v>
      </c>
      <c r="M24" s="152">
        <f t="shared" si="10"/>
        <v>18515767.470854826</v>
      </c>
      <c r="N24" s="152">
        <f t="shared" si="10"/>
        <v>18963267.855744064</v>
      </c>
      <c r="O24" s="152">
        <f t="shared" si="10"/>
        <v>19406916.89229721</v>
      </c>
      <c r="P24" s="152">
        <f t="shared" si="10"/>
        <v>19860961.38142365</v>
      </c>
      <c r="Q24" s="152">
        <f t="shared" si="10"/>
        <v>20325645.31342592</v>
      </c>
      <c r="R24" s="152">
        <f t="shared" si="10"/>
        <v>20801218.415484764</v>
      </c>
      <c r="S24" s="80">
        <f t="shared" si="10"/>
        <v>21287936.28680458</v>
      </c>
      <c r="T24" s="152">
        <f t="shared" si="10"/>
        <v>21786060.53694897</v>
      </c>
      <c r="U24" s="152">
        <f t="shared" si="10"/>
        <v>22295858.92744179</v>
      </c>
      <c r="V24" s="152">
        <f t="shared" si="10"/>
        <v>22817605.51671099</v>
      </c>
      <c r="W24" s="152">
        <f t="shared" si="10"/>
        <v>23351580.808454257</v>
      </c>
      <c r="X24" s="152">
        <f t="shared" si="10"/>
        <v>23898071.903507493</v>
      </c>
      <c r="Y24" s="152">
        <f t="shared" si="10"/>
        <v>24457372.655299004</v>
      </c>
      <c r="Z24" s="152">
        <f t="shared" si="10"/>
        <v>25029783.828974128</v>
      </c>
      <c r="AA24" s="152">
        <f t="shared" si="10"/>
        <v>25615613.26427732</v>
      </c>
      <c r="AB24" s="152">
        <f t="shared" si="10"/>
        <v>26215176.04228043</v>
      </c>
      <c r="AC24" s="152">
        <f t="shared" si="10"/>
        <v>0</v>
      </c>
      <c r="AD24" s="152">
        <f t="shared" si="10"/>
        <v>0</v>
      </c>
      <c r="AE24" s="152">
        <f t="shared" si="10"/>
        <v>0</v>
      </c>
      <c r="AF24" s="152">
        <f t="shared" si="10"/>
        <v>0</v>
      </c>
      <c r="AG24" s="152">
        <f t="shared" si="10"/>
        <v>0</v>
      </c>
      <c r="AH24" s="152">
        <f t="shared" si="10"/>
        <v>0</v>
      </c>
      <c r="AI24" s="80">
        <f t="shared" si="10"/>
        <v>0</v>
      </c>
      <c r="AJ24" s="152">
        <f t="shared" si="10"/>
        <v>0</v>
      </c>
      <c r="AK24" s="152">
        <f t="shared" si="10"/>
        <v>0</v>
      </c>
      <c r="AL24" s="86">
        <f t="shared" si="10"/>
        <v>0</v>
      </c>
      <c r="AM24" s="51"/>
      <c r="AN24" s="50"/>
      <c r="AQ24" s="179">
        <v>17</v>
      </c>
    </row>
    <row r="25" spans="1:43" ht="15">
      <c r="A25" s="57" t="s">
        <v>132</v>
      </c>
      <c r="B25" s="162"/>
      <c r="C25" s="251" t="s">
        <v>133</v>
      </c>
      <c r="D25" s="175"/>
      <c r="E25" s="50"/>
      <c r="F25" s="51"/>
      <c r="G25" s="206" t="s">
        <v>23</v>
      </c>
      <c r="H25" s="160"/>
      <c r="I25" s="166">
        <f>I51</f>
        <v>-7249500</v>
      </c>
      <c r="J25" s="153">
        <f aca="true" t="shared" si="11" ref="J25:AL25">J51</f>
        <v>-7038690.9610414915</v>
      </c>
      <c r="K25" s="153">
        <f t="shared" si="11"/>
        <v>-6816561.476690911</v>
      </c>
      <c r="L25" s="153">
        <f t="shared" si="11"/>
        <v>-6582503.639030704</v>
      </c>
      <c r="M25" s="153">
        <f t="shared" si="11"/>
        <v>-6335876.895488146</v>
      </c>
      <c r="N25" s="153">
        <f t="shared" si="11"/>
        <v>-6076006.29581735</v>
      </c>
      <c r="O25" s="153">
        <f t="shared" si="11"/>
        <v>-5802180.644944234</v>
      </c>
      <c r="P25" s="153">
        <f t="shared" si="11"/>
        <v>-5513650.556619231</v>
      </c>
      <c r="Q25" s="153">
        <f t="shared" si="11"/>
        <v>-5209626.402551175</v>
      </c>
      <c r="R25" s="153">
        <f t="shared" si="11"/>
        <v>-4889276.151409664</v>
      </c>
      <c r="S25" s="63">
        <f t="shared" si="11"/>
        <v>-4551723.091781855</v>
      </c>
      <c r="T25" s="153">
        <f t="shared" si="11"/>
        <v>-4196043.432852032</v>
      </c>
      <c r="U25" s="153">
        <f t="shared" si="11"/>
        <v>-3821263.776237678</v>
      </c>
      <c r="V25" s="153">
        <f t="shared" si="11"/>
        <v>-3426358.4520631325</v>
      </c>
      <c r="W25" s="153">
        <f t="shared" si="11"/>
        <v>-3010246.7119804146</v>
      </c>
      <c r="X25" s="153">
        <f t="shared" si="11"/>
        <v>-2571789.7714552544</v>
      </c>
      <c r="Y25" s="153">
        <f t="shared" si="11"/>
        <v>-2109787.693223893</v>
      </c>
      <c r="Z25" s="153">
        <f t="shared" si="11"/>
        <v>-1622976.1033915079</v>
      </c>
      <c r="AA25" s="153">
        <f t="shared" si="11"/>
        <v>-1110022.7311851236</v>
      </c>
      <c r="AB25" s="153">
        <f t="shared" si="11"/>
        <v>-569523.7628912563</v>
      </c>
      <c r="AC25" s="153">
        <f t="shared" si="11"/>
        <v>0</v>
      </c>
      <c r="AD25" s="153">
        <f t="shared" si="11"/>
        <v>0</v>
      </c>
      <c r="AE25" s="153">
        <f t="shared" si="11"/>
        <v>0</v>
      </c>
      <c r="AF25" s="153">
        <f t="shared" si="11"/>
        <v>0</v>
      </c>
      <c r="AG25" s="153">
        <f t="shared" si="11"/>
        <v>0</v>
      </c>
      <c r="AH25" s="153">
        <f t="shared" si="11"/>
        <v>0</v>
      </c>
      <c r="AI25" s="63">
        <f t="shared" si="11"/>
        <v>0</v>
      </c>
      <c r="AJ25" s="153">
        <f t="shared" si="11"/>
        <v>0</v>
      </c>
      <c r="AK25" s="153">
        <f t="shared" si="11"/>
        <v>0</v>
      </c>
      <c r="AL25" s="77">
        <f t="shared" si="11"/>
        <v>0</v>
      </c>
      <c r="AM25" s="51"/>
      <c r="AN25" s="50"/>
      <c r="AQ25" s="179">
        <v>18</v>
      </c>
    </row>
    <row r="26" spans="1:43" ht="15">
      <c r="A26" s="78" t="s">
        <v>8</v>
      </c>
      <c r="B26" s="92"/>
      <c r="C26" s="66"/>
      <c r="D26" s="176"/>
      <c r="E26" s="50"/>
      <c r="F26" s="51"/>
      <c r="G26" s="207" t="s">
        <v>24</v>
      </c>
      <c r="H26" s="159"/>
      <c r="I26" s="166">
        <f>I46</f>
        <v>-54000000</v>
      </c>
      <c r="J26" s="153">
        <f>J46</f>
        <v>-86400000</v>
      </c>
      <c r="K26" s="153">
        <f aca="true" t="shared" si="12" ref="K26:AL26">K46</f>
        <v>-51840000</v>
      </c>
      <c r="L26" s="153">
        <f t="shared" si="12"/>
        <v>-31104000</v>
      </c>
      <c r="M26" s="153">
        <f t="shared" si="12"/>
        <v>-31104000</v>
      </c>
      <c r="N26" s="153">
        <f t="shared" si="12"/>
        <v>-15552000</v>
      </c>
      <c r="O26" s="153">
        <f t="shared" si="12"/>
        <v>0</v>
      </c>
      <c r="P26" s="153">
        <f t="shared" si="12"/>
        <v>0</v>
      </c>
      <c r="Q26" s="153">
        <f t="shared" si="12"/>
        <v>0</v>
      </c>
      <c r="R26" s="153">
        <f t="shared" si="12"/>
        <v>0</v>
      </c>
      <c r="S26" s="63">
        <f t="shared" si="12"/>
        <v>0</v>
      </c>
      <c r="T26" s="153">
        <f t="shared" si="12"/>
        <v>0</v>
      </c>
      <c r="U26" s="153">
        <f t="shared" si="12"/>
        <v>0</v>
      </c>
      <c r="V26" s="153">
        <f t="shared" si="12"/>
        <v>0</v>
      </c>
      <c r="W26" s="153">
        <f t="shared" si="12"/>
        <v>0</v>
      </c>
      <c r="X26" s="153">
        <f t="shared" si="12"/>
        <v>0</v>
      </c>
      <c r="Y26" s="153">
        <f t="shared" si="12"/>
        <v>0</v>
      </c>
      <c r="Z26" s="153">
        <f t="shared" si="12"/>
        <v>0</v>
      </c>
      <c r="AA26" s="153">
        <f t="shared" si="12"/>
        <v>0</v>
      </c>
      <c r="AB26" s="153">
        <f t="shared" si="12"/>
        <v>0</v>
      </c>
      <c r="AC26" s="153">
        <f t="shared" si="12"/>
        <v>0</v>
      </c>
      <c r="AD26" s="153">
        <f t="shared" si="12"/>
        <v>0</v>
      </c>
      <c r="AE26" s="153">
        <f t="shared" si="12"/>
        <v>0</v>
      </c>
      <c r="AF26" s="153">
        <f t="shared" si="12"/>
        <v>0</v>
      </c>
      <c r="AG26" s="153">
        <f t="shared" si="12"/>
        <v>0</v>
      </c>
      <c r="AH26" s="153">
        <f t="shared" si="12"/>
        <v>0</v>
      </c>
      <c r="AI26" s="63">
        <f t="shared" si="12"/>
        <v>0</v>
      </c>
      <c r="AJ26" s="153">
        <f t="shared" si="12"/>
        <v>0</v>
      </c>
      <c r="AK26" s="153">
        <f t="shared" si="12"/>
        <v>0</v>
      </c>
      <c r="AL26" s="77">
        <f t="shared" si="12"/>
        <v>0</v>
      </c>
      <c r="AM26" s="51"/>
      <c r="AN26" s="50"/>
      <c r="AQ26" s="179">
        <v>19</v>
      </c>
    </row>
    <row r="27" spans="1:43" ht="15.75" thickBot="1">
      <c r="A27" s="57" t="s">
        <v>9</v>
      </c>
      <c r="B27" s="61"/>
      <c r="C27" s="236">
        <v>0.5</v>
      </c>
      <c r="E27" s="50"/>
      <c r="F27" s="51"/>
      <c r="G27" s="208" t="s">
        <v>25</v>
      </c>
      <c r="H27" s="157"/>
      <c r="I27" s="191">
        <f>SUM(I24:I26)</f>
        <v>-44420016.8</v>
      </c>
      <c r="J27" s="192">
        <f aca="true" t="shared" si="13" ref="J27:R27">SUM(J24:J26)</f>
        <v>-76202699.06533429</v>
      </c>
      <c r="K27" s="192">
        <f t="shared" si="13"/>
        <v>-41004181.37391077</v>
      </c>
      <c r="L27" s="192">
        <f t="shared" si="13"/>
        <v>-19607614.199522994</v>
      </c>
      <c r="M27" s="192">
        <f t="shared" si="13"/>
        <v>-18924109.42463332</v>
      </c>
      <c r="N27" s="192">
        <f t="shared" si="13"/>
        <v>-2664738.4400732853</v>
      </c>
      <c r="O27" s="192">
        <f t="shared" si="13"/>
        <v>13604736.247352974</v>
      </c>
      <c r="P27" s="192">
        <f t="shared" si="13"/>
        <v>14347310.824804418</v>
      </c>
      <c r="Q27" s="192">
        <f t="shared" si="13"/>
        <v>15116018.910874747</v>
      </c>
      <c r="R27" s="192">
        <f t="shared" si="13"/>
        <v>15911942.2640751</v>
      </c>
      <c r="S27" s="71">
        <f>SUM(S24:S26)</f>
        <v>16736213.195022725</v>
      </c>
      <c r="T27" s="192">
        <f>SUM(T24:T26)</f>
        <v>17590017.10409694</v>
      </c>
      <c r="U27" s="192">
        <f>SUM(U24:U26)</f>
        <v>18474595.151204113</v>
      </c>
      <c r="V27" s="192">
        <f>SUM(V24:V26)</f>
        <v>19391247.064647857</v>
      </c>
      <c r="W27" s="192">
        <f>SUM(W24:W26)</f>
        <v>20341334.096473843</v>
      </c>
      <c r="X27" s="192">
        <f>SUM(X24:X26)</f>
        <v>21326282.13205224</v>
      </c>
      <c r="Y27" s="192">
        <f>SUM(Y24:Y26)</f>
        <v>22347584.96207511</v>
      </c>
      <c r="Z27" s="192">
        <f aca="true" t="shared" si="14" ref="Z27:AH27">SUM(Z24:Z26)</f>
        <v>23406807.72558262</v>
      </c>
      <c r="AA27" s="192">
        <f t="shared" si="14"/>
        <v>24505590.533092197</v>
      </c>
      <c r="AB27" s="192">
        <f t="shared" si="14"/>
        <v>25645652.279389177</v>
      </c>
      <c r="AC27" s="192">
        <f t="shared" si="14"/>
        <v>0</v>
      </c>
      <c r="AD27" s="192">
        <f t="shared" si="14"/>
        <v>0</v>
      </c>
      <c r="AE27" s="192">
        <f t="shared" si="14"/>
        <v>0</v>
      </c>
      <c r="AF27" s="192">
        <f t="shared" si="14"/>
        <v>0</v>
      </c>
      <c r="AG27" s="192">
        <f t="shared" si="14"/>
        <v>0</v>
      </c>
      <c r="AH27" s="192">
        <f t="shared" si="14"/>
        <v>0</v>
      </c>
      <c r="AI27" s="71">
        <f>SUM(AI24:AI26)</f>
        <v>0</v>
      </c>
      <c r="AJ27" s="192">
        <f>SUM(AJ24:AJ26)</f>
        <v>0</v>
      </c>
      <c r="AK27" s="192">
        <f>SUM(AK24:AK26)</f>
        <v>0</v>
      </c>
      <c r="AL27" s="83">
        <f>SUM(AL24:AL26)</f>
        <v>0</v>
      </c>
      <c r="AM27" s="51"/>
      <c r="AN27" s="50"/>
      <c r="AQ27" s="179">
        <v>20</v>
      </c>
    </row>
    <row r="28" spans="1:43" ht="15.75" thickTop="1">
      <c r="A28" s="53" t="s">
        <v>10</v>
      </c>
      <c r="B28" s="163"/>
      <c r="C28" s="250">
        <f>1-C27</f>
        <v>0.5</v>
      </c>
      <c r="D28" s="164"/>
      <c r="E28" s="50"/>
      <c r="F28" s="51"/>
      <c r="G28" s="211"/>
      <c r="H28" s="158"/>
      <c r="I28" s="165"/>
      <c r="J28" s="158"/>
      <c r="K28" s="158"/>
      <c r="L28" s="158"/>
      <c r="M28" s="158"/>
      <c r="N28" s="158"/>
      <c r="O28" s="158"/>
      <c r="P28" s="158"/>
      <c r="Q28" s="158"/>
      <c r="R28" s="158"/>
      <c r="S28" s="64"/>
      <c r="T28" s="158"/>
      <c r="U28" s="158"/>
      <c r="V28" s="158"/>
      <c r="W28" s="64"/>
      <c r="X28" s="64"/>
      <c r="Y28" s="64"/>
      <c r="Z28" s="158"/>
      <c r="AA28" s="158"/>
      <c r="AB28" s="158"/>
      <c r="AC28" s="158"/>
      <c r="AD28" s="158"/>
      <c r="AE28" s="158"/>
      <c r="AF28" s="158"/>
      <c r="AG28" s="158"/>
      <c r="AH28" s="158"/>
      <c r="AI28" s="64"/>
      <c r="AJ28" s="158"/>
      <c r="AK28" s="158"/>
      <c r="AL28" s="244"/>
      <c r="AM28" s="51"/>
      <c r="AN28" s="50"/>
      <c r="AQ28" s="179">
        <v>21</v>
      </c>
    </row>
    <row r="29" spans="1:43" ht="15">
      <c r="A29" s="57" t="s">
        <v>11</v>
      </c>
      <c r="B29" s="61"/>
      <c r="C29" s="603">
        <v>0.0537</v>
      </c>
      <c r="D29" s="164"/>
      <c r="E29" s="50"/>
      <c r="F29" s="51"/>
      <c r="G29" s="212" t="s">
        <v>136</v>
      </c>
      <c r="H29" s="158"/>
      <c r="I29" s="166">
        <f>MAX(0,IF(I$8&gt;$C$33,0,$C$14*$C$11*$C$9*8760))</f>
        <v>6044400</v>
      </c>
      <c r="J29" s="166">
        <f aca="true" t="shared" si="15" ref="J29:AL29">MAX(0,IF(J$8&gt;$C$33,0,$C$14*$C$11*$C$9*8760))</f>
        <v>6044400</v>
      </c>
      <c r="K29" s="166">
        <f t="shared" si="15"/>
        <v>6044400</v>
      </c>
      <c r="L29" s="166">
        <f t="shared" si="15"/>
        <v>6044400</v>
      </c>
      <c r="M29" s="166">
        <f t="shared" si="15"/>
        <v>6044400</v>
      </c>
      <c r="N29" s="166">
        <f t="shared" si="15"/>
        <v>6044400</v>
      </c>
      <c r="O29" s="166">
        <f t="shared" si="15"/>
        <v>6044400</v>
      </c>
      <c r="P29" s="166">
        <f t="shared" si="15"/>
        <v>6044400</v>
      </c>
      <c r="Q29" s="166">
        <f t="shared" si="15"/>
        <v>6044400</v>
      </c>
      <c r="R29" s="166">
        <f t="shared" si="15"/>
        <v>6044400</v>
      </c>
      <c r="S29" s="166">
        <f t="shared" si="15"/>
        <v>0</v>
      </c>
      <c r="T29" s="166">
        <f t="shared" si="15"/>
        <v>0</v>
      </c>
      <c r="U29" s="166">
        <f t="shared" si="15"/>
        <v>0</v>
      </c>
      <c r="V29" s="166">
        <f t="shared" si="15"/>
        <v>0</v>
      </c>
      <c r="W29" s="166">
        <f t="shared" si="15"/>
        <v>0</v>
      </c>
      <c r="X29" s="166">
        <f t="shared" si="15"/>
        <v>0</v>
      </c>
      <c r="Y29" s="166">
        <f t="shared" si="15"/>
        <v>0</v>
      </c>
      <c r="Z29" s="166">
        <f t="shared" si="15"/>
        <v>0</v>
      </c>
      <c r="AA29" s="166">
        <f t="shared" si="15"/>
        <v>0</v>
      </c>
      <c r="AB29" s="166">
        <f t="shared" si="15"/>
        <v>0</v>
      </c>
      <c r="AC29" s="166">
        <f t="shared" si="15"/>
        <v>0</v>
      </c>
      <c r="AD29" s="166">
        <f t="shared" si="15"/>
        <v>0</v>
      </c>
      <c r="AE29" s="166">
        <f t="shared" si="15"/>
        <v>0</v>
      </c>
      <c r="AF29" s="166">
        <f t="shared" si="15"/>
        <v>0</v>
      </c>
      <c r="AG29" s="166">
        <f t="shared" si="15"/>
        <v>0</v>
      </c>
      <c r="AH29" s="166">
        <f t="shared" si="15"/>
        <v>0</v>
      </c>
      <c r="AI29" s="166">
        <f t="shared" si="15"/>
        <v>0</v>
      </c>
      <c r="AJ29" s="166">
        <f t="shared" si="15"/>
        <v>0</v>
      </c>
      <c r="AK29" s="166">
        <f t="shared" si="15"/>
        <v>0</v>
      </c>
      <c r="AL29" s="249">
        <f t="shared" si="15"/>
        <v>0</v>
      </c>
      <c r="AM29" s="51"/>
      <c r="AN29" s="50"/>
      <c r="AQ29" s="179">
        <v>22</v>
      </c>
    </row>
    <row r="30" spans="1:43" ht="15">
      <c r="A30" s="57" t="s">
        <v>12</v>
      </c>
      <c r="B30" s="61"/>
      <c r="C30" s="603">
        <v>0.0893</v>
      </c>
      <c r="D30" s="164"/>
      <c r="E30" s="477"/>
      <c r="F30" s="478"/>
      <c r="G30" s="562" t="s">
        <v>26</v>
      </c>
      <c r="H30" s="428"/>
      <c r="I30" s="544">
        <f>-MAX(I27*$C$32,0)</f>
        <v>0</v>
      </c>
      <c r="J30" s="544">
        <f aca="true" t="shared" si="16" ref="J30:AL30">-MAX(J27*$C$32,0)</f>
        <v>0</v>
      </c>
      <c r="K30" s="544">
        <f t="shared" si="16"/>
        <v>0</v>
      </c>
      <c r="L30" s="544">
        <f t="shared" si="16"/>
        <v>0</v>
      </c>
      <c r="M30" s="544">
        <f t="shared" si="16"/>
        <v>0</v>
      </c>
      <c r="N30" s="544">
        <f t="shared" si="16"/>
        <v>0</v>
      </c>
      <c r="O30" s="544">
        <f t="shared" si="16"/>
        <v>-6172128.717017861</v>
      </c>
      <c r="P30" s="544">
        <f t="shared" si="16"/>
        <v>-6509016.238443145</v>
      </c>
      <c r="Q30" s="544">
        <f t="shared" si="16"/>
        <v>-6857759.8793911</v>
      </c>
      <c r="R30" s="544">
        <f t="shared" si="16"/>
        <v>-7218850.406654271</v>
      </c>
      <c r="S30" s="544">
        <f t="shared" si="16"/>
        <v>-7592801.521251935</v>
      </c>
      <c r="T30" s="544">
        <f t="shared" si="16"/>
        <v>-7980151.00970118</v>
      </c>
      <c r="U30" s="544">
        <f t="shared" si="16"/>
        <v>-8381461.955222526</v>
      </c>
      <c r="V30" s="544">
        <f t="shared" si="16"/>
        <v>-8797324.012054117</v>
      </c>
      <c r="W30" s="544">
        <f t="shared" si="16"/>
        <v>-9228354.74621777</v>
      </c>
      <c r="X30" s="544">
        <f t="shared" si="16"/>
        <v>-9675201.0462588</v>
      </c>
      <c r="Y30" s="544">
        <f t="shared" si="16"/>
        <v>-10138540.607669426</v>
      </c>
      <c r="Z30" s="544">
        <f t="shared" si="16"/>
        <v>-10619083.494903695</v>
      </c>
      <c r="AA30" s="544">
        <f t="shared" si="16"/>
        <v>-11117573.785100602</v>
      </c>
      <c r="AB30" s="544">
        <f t="shared" si="16"/>
        <v>-11634791.297851885</v>
      </c>
      <c r="AC30" s="544">
        <f t="shared" si="16"/>
        <v>0</v>
      </c>
      <c r="AD30" s="544">
        <f t="shared" si="16"/>
        <v>0</v>
      </c>
      <c r="AE30" s="544">
        <f t="shared" si="16"/>
        <v>0</v>
      </c>
      <c r="AF30" s="544">
        <f t="shared" si="16"/>
        <v>0</v>
      </c>
      <c r="AG30" s="544">
        <f t="shared" si="16"/>
        <v>0</v>
      </c>
      <c r="AH30" s="544">
        <f t="shared" si="16"/>
        <v>0</v>
      </c>
      <c r="AI30" s="544">
        <f t="shared" si="16"/>
        <v>0</v>
      </c>
      <c r="AJ30" s="544">
        <f t="shared" si="16"/>
        <v>0</v>
      </c>
      <c r="AK30" s="544">
        <f t="shared" si="16"/>
        <v>0</v>
      </c>
      <c r="AL30" s="475">
        <f t="shared" si="16"/>
        <v>0</v>
      </c>
      <c r="AM30" s="478"/>
      <c r="AN30" s="477"/>
      <c r="AQ30" s="179">
        <v>23</v>
      </c>
    </row>
    <row r="31" spans="1:43" ht="15">
      <c r="A31" s="53" t="s">
        <v>13</v>
      </c>
      <c r="B31" s="61"/>
      <c r="C31" s="237">
        <v>0.023</v>
      </c>
      <c r="D31" s="180"/>
      <c r="E31" s="477"/>
      <c r="F31" s="478"/>
      <c r="G31" s="562" t="s">
        <v>144</v>
      </c>
      <c r="H31" s="428"/>
      <c r="I31" s="544">
        <f>I29</f>
        <v>6044400</v>
      </c>
      <c r="J31" s="544">
        <f>IF(J$8&gt;20,0,MAX(I31+J30+J29,0))</f>
        <v>12088800</v>
      </c>
      <c r="K31" s="544">
        <f aca="true" t="shared" si="17" ref="K31:AL31">IF(K$8&gt;20,0,MAX(J31+K30+K29,0))</f>
        <v>18133200</v>
      </c>
      <c r="L31" s="544">
        <f t="shared" si="17"/>
        <v>24177600</v>
      </c>
      <c r="M31" s="544">
        <f t="shared" si="17"/>
        <v>30222000</v>
      </c>
      <c r="N31" s="544">
        <f t="shared" si="17"/>
        <v>36266400</v>
      </c>
      <c r="O31" s="544">
        <f t="shared" si="17"/>
        <v>36138671.28298214</v>
      </c>
      <c r="P31" s="544">
        <f t="shared" si="17"/>
        <v>35674055.044539</v>
      </c>
      <c r="Q31" s="544">
        <f t="shared" si="17"/>
        <v>34860695.1651479</v>
      </c>
      <c r="R31" s="544">
        <f t="shared" si="17"/>
        <v>33686244.75849363</v>
      </c>
      <c r="S31" s="544">
        <f t="shared" si="17"/>
        <v>26093443.237241697</v>
      </c>
      <c r="T31" s="544">
        <f t="shared" si="17"/>
        <v>18113292.227540515</v>
      </c>
      <c r="U31" s="544">
        <f t="shared" si="17"/>
        <v>9731830.27231799</v>
      </c>
      <c r="V31" s="544">
        <f t="shared" si="17"/>
        <v>934506.2602638733</v>
      </c>
      <c r="W31" s="544">
        <f t="shared" si="17"/>
        <v>0</v>
      </c>
      <c r="X31" s="544">
        <f t="shared" si="17"/>
        <v>0</v>
      </c>
      <c r="Y31" s="544">
        <f t="shared" si="17"/>
        <v>0</v>
      </c>
      <c r="Z31" s="544">
        <f t="shared" si="17"/>
        <v>0</v>
      </c>
      <c r="AA31" s="544">
        <f t="shared" si="17"/>
        <v>0</v>
      </c>
      <c r="AB31" s="544">
        <f t="shared" si="17"/>
        <v>0</v>
      </c>
      <c r="AC31" s="544">
        <f t="shared" si="17"/>
        <v>0</v>
      </c>
      <c r="AD31" s="544">
        <f t="shared" si="17"/>
        <v>0</v>
      </c>
      <c r="AE31" s="544">
        <f t="shared" si="17"/>
        <v>0</v>
      </c>
      <c r="AF31" s="544">
        <f t="shared" si="17"/>
        <v>0</v>
      </c>
      <c r="AG31" s="544">
        <f t="shared" si="17"/>
        <v>0</v>
      </c>
      <c r="AH31" s="544">
        <f t="shared" si="17"/>
        <v>0</v>
      </c>
      <c r="AI31" s="544">
        <f t="shared" si="17"/>
        <v>0</v>
      </c>
      <c r="AJ31" s="544">
        <f t="shared" si="17"/>
        <v>0</v>
      </c>
      <c r="AK31" s="544">
        <f t="shared" si="17"/>
        <v>0</v>
      </c>
      <c r="AL31" s="475">
        <f t="shared" si="17"/>
        <v>0</v>
      </c>
      <c r="AM31" s="478"/>
      <c r="AN31" s="477"/>
      <c r="AQ31" s="179">
        <v>24</v>
      </c>
    </row>
    <row r="32" spans="1:43" ht="15">
      <c r="A32" s="57" t="s">
        <v>14</v>
      </c>
      <c r="B32" s="61"/>
      <c r="C32" s="237">
        <v>0.453675</v>
      </c>
      <c r="D32" s="180"/>
      <c r="E32" s="50"/>
      <c r="F32" s="51"/>
      <c r="G32" s="562" t="s">
        <v>145</v>
      </c>
      <c r="H32" s="155"/>
      <c r="I32" s="169">
        <f>-MAX(MAX(I27*$AS$46-I31,0)+$AS$50*I27,0)</f>
        <v>0</v>
      </c>
      <c r="J32" s="169">
        <f aca="true" t="shared" si="18" ref="J32:AL32">-MAX(MAX(J27*$AS$46-J31,0)+$AS$50*J27,0)</f>
        <v>0</v>
      </c>
      <c r="K32" s="169">
        <f t="shared" si="18"/>
        <v>0</v>
      </c>
      <c r="L32" s="169">
        <f t="shared" si="18"/>
        <v>0</v>
      </c>
      <c r="M32" s="169">
        <f t="shared" si="18"/>
        <v>0</v>
      </c>
      <c r="N32" s="169">
        <f t="shared" si="18"/>
        <v>0</v>
      </c>
      <c r="O32" s="169">
        <f t="shared" si="18"/>
        <v>-1410471.0304443196</v>
      </c>
      <c r="P32" s="169">
        <f t="shared" si="18"/>
        <v>-1487457.449761598</v>
      </c>
      <c r="Q32" s="169">
        <f t="shared" si="18"/>
        <v>-1567153.2605849393</v>
      </c>
      <c r="R32" s="169">
        <f t="shared" si="18"/>
        <v>-1649670.614227986</v>
      </c>
      <c r="S32" s="169">
        <f t="shared" si="18"/>
        <v>-1735126.9029939808</v>
      </c>
      <c r="T32" s="169">
        <f t="shared" si="18"/>
        <v>-1823645.0232672503</v>
      </c>
      <c r="U32" s="169">
        <f t="shared" si="18"/>
        <v>-1915353.652301086</v>
      </c>
      <c r="V32" s="169">
        <f t="shared" si="18"/>
        <v>-7862817.751790242</v>
      </c>
      <c r="W32" s="169">
        <f t="shared" si="18"/>
        <v>-9228354.74621777</v>
      </c>
      <c r="X32" s="169">
        <f t="shared" si="18"/>
        <v>-9675201.046258798</v>
      </c>
      <c r="Y32" s="169">
        <f t="shared" si="18"/>
        <v>-10138540.607669424</v>
      </c>
      <c r="Z32" s="169">
        <f t="shared" si="18"/>
        <v>-10619083.494903695</v>
      </c>
      <c r="AA32" s="169">
        <f t="shared" si="18"/>
        <v>-11117573.785100602</v>
      </c>
      <c r="AB32" s="169">
        <f t="shared" si="18"/>
        <v>-11634791.297851885</v>
      </c>
      <c r="AC32" s="169">
        <f t="shared" si="18"/>
        <v>0</v>
      </c>
      <c r="AD32" s="169">
        <f t="shared" si="18"/>
        <v>0</v>
      </c>
      <c r="AE32" s="169">
        <f t="shared" si="18"/>
        <v>0</v>
      </c>
      <c r="AF32" s="169">
        <f t="shared" si="18"/>
        <v>0</v>
      </c>
      <c r="AG32" s="169">
        <f t="shared" si="18"/>
        <v>0</v>
      </c>
      <c r="AH32" s="169">
        <f t="shared" si="18"/>
        <v>0</v>
      </c>
      <c r="AI32" s="169">
        <f t="shared" si="18"/>
        <v>0</v>
      </c>
      <c r="AJ32" s="169">
        <f t="shared" si="18"/>
        <v>0</v>
      </c>
      <c r="AK32" s="169">
        <f t="shared" si="18"/>
        <v>0</v>
      </c>
      <c r="AL32" s="183">
        <f t="shared" si="18"/>
        <v>0</v>
      </c>
      <c r="AM32" s="51"/>
      <c r="AN32" s="50"/>
      <c r="AQ32" s="179">
        <v>25</v>
      </c>
    </row>
    <row r="33" spans="1:43" ht="15">
      <c r="A33" s="57" t="s">
        <v>98</v>
      </c>
      <c r="B33" s="61"/>
      <c r="C33" s="246">
        <v>10</v>
      </c>
      <c r="D33" s="180"/>
      <c r="E33" s="50"/>
      <c r="F33" s="51"/>
      <c r="G33" s="211" t="s">
        <v>27</v>
      </c>
      <c r="H33" s="158"/>
      <c r="I33" s="166">
        <f>I52</f>
        <v>-3925680.4275327437</v>
      </c>
      <c r="J33" s="153">
        <f aca="true" t="shared" si="19" ref="J33:X33">J52</f>
        <v>-4136489.466491252</v>
      </c>
      <c r="K33" s="153">
        <f t="shared" si="19"/>
        <v>-4358618.950841833</v>
      </c>
      <c r="L33" s="153">
        <f t="shared" si="19"/>
        <v>-4592676.788502039</v>
      </c>
      <c r="M33" s="153">
        <f t="shared" si="19"/>
        <v>-4839303.532044598</v>
      </c>
      <c r="N33" s="153">
        <f t="shared" si="19"/>
        <v>-5099174.131715394</v>
      </c>
      <c r="O33" s="153">
        <f t="shared" si="19"/>
        <v>-5372999.78258851</v>
      </c>
      <c r="P33" s="153">
        <f t="shared" si="19"/>
        <v>-5661529.870913513</v>
      </c>
      <c r="Q33" s="153">
        <f t="shared" si="19"/>
        <v>-5965554.024981569</v>
      </c>
      <c r="R33" s="153">
        <f t="shared" si="19"/>
        <v>-6285904.2761230795</v>
      </c>
      <c r="S33" s="63">
        <f t="shared" si="19"/>
        <v>-6623457.335750889</v>
      </c>
      <c r="T33" s="153">
        <f t="shared" si="19"/>
        <v>-6979136.994680712</v>
      </c>
      <c r="U33" s="153">
        <f t="shared" si="19"/>
        <v>-7353916.651295066</v>
      </c>
      <c r="V33" s="153">
        <f t="shared" si="19"/>
        <v>-7748821.975469612</v>
      </c>
      <c r="W33" s="63">
        <f t="shared" si="19"/>
        <v>-8164933.715552329</v>
      </c>
      <c r="X33" s="63">
        <f t="shared" si="19"/>
        <v>-8603390.65607749</v>
      </c>
      <c r="Y33" s="63">
        <f>Y52</f>
        <v>-9065392.73430885</v>
      </c>
      <c r="Z33" s="153">
        <f aca="true" t="shared" si="20" ref="Z33:AL33">Z52</f>
        <v>-9552204.324141236</v>
      </c>
      <c r="AA33" s="153">
        <f t="shared" si="20"/>
        <v>-10065157.69634762</v>
      </c>
      <c r="AB33" s="153">
        <f t="shared" si="20"/>
        <v>-10605656.664641488</v>
      </c>
      <c r="AC33" s="153">
        <f t="shared" si="20"/>
        <v>0</v>
      </c>
      <c r="AD33" s="153">
        <f t="shared" si="20"/>
        <v>0</v>
      </c>
      <c r="AE33" s="153">
        <f t="shared" si="20"/>
        <v>0</v>
      </c>
      <c r="AF33" s="153">
        <f t="shared" si="20"/>
        <v>0</v>
      </c>
      <c r="AG33" s="153">
        <f t="shared" si="20"/>
        <v>0</v>
      </c>
      <c r="AH33" s="153">
        <f t="shared" si="20"/>
        <v>0</v>
      </c>
      <c r="AI33" s="63">
        <f t="shared" si="20"/>
        <v>0</v>
      </c>
      <c r="AJ33" s="153">
        <f t="shared" si="20"/>
        <v>0</v>
      </c>
      <c r="AK33" s="153">
        <f t="shared" si="20"/>
        <v>0</v>
      </c>
      <c r="AL33" s="77">
        <f t="shared" si="20"/>
        <v>0</v>
      </c>
      <c r="AM33" s="51"/>
      <c r="AN33" s="50"/>
      <c r="AQ33" s="179">
        <v>26</v>
      </c>
    </row>
    <row r="34" spans="1:43" ht="15.75" thickBot="1">
      <c r="A34" s="53" t="s">
        <v>75</v>
      </c>
      <c r="B34" s="61"/>
      <c r="C34" s="246">
        <v>20</v>
      </c>
      <c r="D34" s="180"/>
      <c r="E34" s="50"/>
      <c r="F34" s="51"/>
      <c r="G34" s="213" t="s">
        <v>40</v>
      </c>
      <c r="H34" s="170"/>
      <c r="I34" s="187">
        <f aca="true" t="shared" si="21" ref="I34:AL34">I24+I25+I32+I33</f>
        <v>5654302.772467256</v>
      </c>
      <c r="J34" s="188">
        <f t="shared" si="21"/>
        <v>6060811.468174454</v>
      </c>
      <c r="K34" s="188">
        <f t="shared" si="21"/>
        <v>6477199.675247401</v>
      </c>
      <c r="L34" s="188">
        <f t="shared" si="21"/>
        <v>6903709.011974968</v>
      </c>
      <c r="M34" s="188">
        <f t="shared" si="21"/>
        <v>7340587.043322082</v>
      </c>
      <c r="N34" s="188">
        <f t="shared" si="21"/>
        <v>7788087.428211321</v>
      </c>
      <c r="O34" s="188">
        <f t="shared" si="21"/>
        <v>6821265.434320144</v>
      </c>
      <c r="P34" s="188">
        <f t="shared" si="21"/>
        <v>7198323.504129307</v>
      </c>
      <c r="Q34" s="188">
        <f t="shared" si="21"/>
        <v>7583311.625308239</v>
      </c>
      <c r="R34" s="188">
        <f t="shared" si="21"/>
        <v>7976367.373724035</v>
      </c>
      <c r="S34" s="85">
        <f t="shared" si="21"/>
        <v>8377628.956277855</v>
      </c>
      <c r="T34" s="188">
        <f t="shared" si="21"/>
        <v>8787235.08614898</v>
      </c>
      <c r="U34" s="188">
        <f t="shared" si="21"/>
        <v>9205324.84760796</v>
      </c>
      <c r="V34" s="188">
        <f t="shared" si="21"/>
        <v>3779607.3373880032</v>
      </c>
      <c r="W34" s="85">
        <f t="shared" si="21"/>
        <v>2948045.6347037433</v>
      </c>
      <c r="X34" s="85">
        <f t="shared" si="21"/>
        <v>3047690.429715952</v>
      </c>
      <c r="Y34" s="85">
        <f t="shared" si="21"/>
        <v>3143651.6200968362</v>
      </c>
      <c r="Z34" s="188">
        <f t="shared" si="21"/>
        <v>3235519.9065376874</v>
      </c>
      <c r="AA34" s="188">
        <f t="shared" si="21"/>
        <v>3322859.051643975</v>
      </c>
      <c r="AB34" s="188">
        <f t="shared" si="21"/>
        <v>3405204.3168958034</v>
      </c>
      <c r="AC34" s="188">
        <f t="shared" si="21"/>
        <v>0</v>
      </c>
      <c r="AD34" s="188">
        <f t="shared" si="21"/>
        <v>0</v>
      </c>
      <c r="AE34" s="188">
        <f t="shared" si="21"/>
        <v>0</v>
      </c>
      <c r="AF34" s="188">
        <f t="shared" si="21"/>
        <v>0</v>
      </c>
      <c r="AG34" s="188">
        <f t="shared" si="21"/>
        <v>0</v>
      </c>
      <c r="AH34" s="188">
        <f t="shared" si="21"/>
        <v>0</v>
      </c>
      <c r="AI34" s="85">
        <f t="shared" si="21"/>
        <v>0</v>
      </c>
      <c r="AJ34" s="188">
        <f t="shared" si="21"/>
        <v>0</v>
      </c>
      <c r="AK34" s="188">
        <f t="shared" si="21"/>
        <v>0</v>
      </c>
      <c r="AL34" s="68">
        <f t="shared" si="21"/>
        <v>0</v>
      </c>
      <c r="AM34" s="51"/>
      <c r="AN34" s="50"/>
      <c r="AQ34" s="179">
        <v>27</v>
      </c>
    </row>
    <row r="35" spans="1:43" ht="15.75" thickTop="1">
      <c r="A35" s="57" t="s">
        <v>44</v>
      </c>
      <c r="B35" s="172"/>
      <c r="C35" s="238" t="s">
        <v>45</v>
      </c>
      <c r="D35" s="180"/>
      <c r="E35" s="50"/>
      <c r="F35" s="51"/>
      <c r="G35" s="214"/>
      <c r="H35" s="171"/>
      <c r="I35" s="168"/>
      <c r="J35" s="152"/>
      <c r="K35" s="152"/>
      <c r="L35" s="152"/>
      <c r="M35" s="152"/>
      <c r="N35" s="152"/>
      <c r="O35" s="152"/>
      <c r="P35" s="152"/>
      <c r="Q35" s="152"/>
      <c r="R35" s="152"/>
      <c r="S35" s="80"/>
      <c r="T35" s="152"/>
      <c r="U35" s="152"/>
      <c r="V35" s="152"/>
      <c r="W35" s="80"/>
      <c r="X35" s="80"/>
      <c r="Y35" s="80"/>
      <c r="Z35" s="152"/>
      <c r="AA35" s="152"/>
      <c r="AB35" s="152"/>
      <c r="AC35" s="152"/>
      <c r="AD35" s="152"/>
      <c r="AE35" s="152"/>
      <c r="AF35" s="152"/>
      <c r="AG35" s="152"/>
      <c r="AH35" s="152"/>
      <c r="AI35" s="80"/>
      <c r="AJ35" s="152"/>
      <c r="AK35" s="152"/>
      <c r="AL35" s="86"/>
      <c r="AM35" s="51"/>
      <c r="AN35" s="50"/>
      <c r="AQ35" s="179">
        <v>28</v>
      </c>
    </row>
    <row r="36" spans="1:43" ht="15">
      <c r="A36" s="53" t="s">
        <v>15</v>
      </c>
      <c r="B36" s="61"/>
      <c r="C36" s="246">
        <v>5</v>
      </c>
      <c r="E36" s="50"/>
      <c r="F36" s="51"/>
      <c r="G36" s="211" t="s">
        <v>28</v>
      </c>
      <c r="H36" s="201"/>
      <c r="I36" s="151">
        <f aca="true" t="shared" si="22" ref="I36:AL36">IF($C$23&lt;&gt;0,MAX((($C$23+1-I8)/$C$23),0),0)*($C$9*$C$10/100)*(IF(I8&gt;$C$34,0,$C$22))</f>
        <v>45337929.620000035</v>
      </c>
      <c r="J36" s="151">
        <f t="shared" si="22"/>
        <v>36270343.69600003</v>
      </c>
      <c r="K36" s="151">
        <f t="shared" si="22"/>
        <v>27202757.772000015</v>
      </c>
      <c r="L36" s="151">
        <f t="shared" si="22"/>
        <v>18135171.848000016</v>
      </c>
      <c r="M36" s="151">
        <f t="shared" si="22"/>
        <v>9067585.924000008</v>
      </c>
      <c r="N36" s="151">
        <f t="shared" si="22"/>
        <v>0</v>
      </c>
      <c r="O36" s="151">
        <f t="shared" si="22"/>
        <v>0</v>
      </c>
      <c r="P36" s="151">
        <f t="shared" si="22"/>
        <v>0</v>
      </c>
      <c r="Q36" s="151">
        <f t="shared" si="22"/>
        <v>0</v>
      </c>
      <c r="R36" s="151">
        <f t="shared" si="22"/>
        <v>0</v>
      </c>
      <c r="S36" s="151">
        <f t="shared" si="22"/>
        <v>0</v>
      </c>
      <c r="T36" s="151">
        <f t="shared" si="22"/>
        <v>0</v>
      </c>
      <c r="U36" s="151">
        <f t="shared" si="22"/>
        <v>0</v>
      </c>
      <c r="V36" s="151">
        <f t="shared" si="22"/>
        <v>0</v>
      </c>
      <c r="W36" s="151">
        <f t="shared" si="22"/>
        <v>0</v>
      </c>
      <c r="X36" s="151">
        <f t="shared" si="22"/>
        <v>0</v>
      </c>
      <c r="Y36" s="151">
        <f t="shared" si="22"/>
        <v>0</v>
      </c>
      <c r="Z36" s="151">
        <f t="shared" si="22"/>
        <v>0</v>
      </c>
      <c r="AA36" s="151">
        <f t="shared" si="22"/>
        <v>0</v>
      </c>
      <c r="AB36" s="151">
        <f t="shared" si="22"/>
        <v>0</v>
      </c>
      <c r="AC36" s="151">
        <f t="shared" si="22"/>
        <v>0</v>
      </c>
      <c r="AD36" s="151">
        <f t="shared" si="22"/>
        <v>0</v>
      </c>
      <c r="AE36" s="151">
        <f t="shared" si="22"/>
        <v>0</v>
      </c>
      <c r="AF36" s="151">
        <f t="shared" si="22"/>
        <v>0</v>
      </c>
      <c r="AG36" s="151">
        <f t="shared" si="22"/>
        <v>0</v>
      </c>
      <c r="AH36" s="151">
        <f t="shared" si="22"/>
        <v>0</v>
      </c>
      <c r="AI36" s="151">
        <f t="shared" si="22"/>
        <v>0</v>
      </c>
      <c r="AJ36" s="151">
        <f t="shared" si="22"/>
        <v>0</v>
      </c>
      <c r="AK36" s="151">
        <f t="shared" si="22"/>
        <v>0</v>
      </c>
      <c r="AL36" s="117">
        <f t="shared" si="22"/>
        <v>0</v>
      </c>
      <c r="AM36" s="51"/>
      <c r="AN36" s="50"/>
      <c r="AQ36" s="179">
        <v>29</v>
      </c>
    </row>
    <row r="37" spans="1:43" ht="15">
      <c r="A37" s="78" t="s">
        <v>4</v>
      </c>
      <c r="B37" s="92"/>
      <c r="C37" s="66"/>
      <c r="E37" s="50"/>
      <c r="F37" s="51"/>
      <c r="G37" s="182" t="s">
        <v>26</v>
      </c>
      <c r="H37" s="201"/>
      <c r="I37" s="151">
        <f>IF($C$25="NO",0,-I36*$C$32)</f>
        <v>-20568685.220353514</v>
      </c>
      <c r="J37" s="151">
        <f aca="true" t="shared" si="23" ref="J37:AL37">IF($C$25="NO",0,-J36*$C$32)</f>
        <v>-16454948.176282814</v>
      </c>
      <c r="K37" s="151">
        <f t="shared" si="23"/>
        <v>-12341211.132212106</v>
      </c>
      <c r="L37" s="151">
        <f t="shared" si="23"/>
        <v>-8227474.088141407</v>
      </c>
      <c r="M37" s="151">
        <f>IF($C$25="NO",0,-M36*$C$32)</f>
        <v>-4113737.0440707034</v>
      </c>
      <c r="N37" s="151">
        <f t="shared" si="23"/>
        <v>0</v>
      </c>
      <c r="O37" s="151">
        <f t="shared" si="23"/>
        <v>0</v>
      </c>
      <c r="P37" s="151">
        <f t="shared" si="23"/>
        <v>0</v>
      </c>
      <c r="Q37" s="151">
        <f t="shared" si="23"/>
        <v>0</v>
      </c>
      <c r="R37" s="151">
        <f t="shared" si="23"/>
        <v>0</v>
      </c>
      <c r="S37" s="151">
        <f t="shared" si="23"/>
        <v>0</v>
      </c>
      <c r="T37" s="151">
        <f t="shared" si="23"/>
        <v>0</v>
      </c>
      <c r="U37" s="151">
        <f t="shared" si="23"/>
        <v>0</v>
      </c>
      <c r="V37" s="151">
        <f t="shared" si="23"/>
        <v>0</v>
      </c>
      <c r="W37" s="151">
        <f t="shared" si="23"/>
        <v>0</v>
      </c>
      <c r="X37" s="151">
        <f t="shared" si="23"/>
        <v>0</v>
      </c>
      <c r="Y37" s="151">
        <f t="shared" si="23"/>
        <v>0</v>
      </c>
      <c r="Z37" s="151">
        <f t="shared" si="23"/>
        <v>0</v>
      </c>
      <c r="AA37" s="151">
        <f t="shared" si="23"/>
        <v>0</v>
      </c>
      <c r="AB37" s="151">
        <f t="shared" si="23"/>
        <v>0</v>
      </c>
      <c r="AC37" s="151">
        <f t="shared" si="23"/>
        <v>0</v>
      </c>
      <c r="AD37" s="151">
        <f t="shared" si="23"/>
        <v>0</v>
      </c>
      <c r="AE37" s="151">
        <f t="shared" si="23"/>
        <v>0</v>
      </c>
      <c r="AF37" s="151">
        <f t="shared" si="23"/>
        <v>0</v>
      </c>
      <c r="AG37" s="151">
        <f t="shared" si="23"/>
        <v>0</v>
      </c>
      <c r="AH37" s="151">
        <f t="shared" si="23"/>
        <v>0</v>
      </c>
      <c r="AI37" s="151">
        <f t="shared" si="23"/>
        <v>0</v>
      </c>
      <c r="AJ37" s="151">
        <f t="shared" si="23"/>
        <v>0</v>
      </c>
      <c r="AK37" s="151">
        <f t="shared" si="23"/>
        <v>0</v>
      </c>
      <c r="AL37" s="117">
        <f t="shared" si="23"/>
        <v>0</v>
      </c>
      <c r="AM37" s="51"/>
      <c r="AN37" s="50"/>
      <c r="AQ37" s="179">
        <v>30</v>
      </c>
    </row>
    <row r="38" spans="1:40" ht="15.75" thickBot="1">
      <c r="A38" s="57" t="s">
        <v>5</v>
      </c>
      <c r="B38" s="162" t="s">
        <v>89</v>
      </c>
      <c r="C38" s="234">
        <f>2%*C8</f>
        <v>5400000</v>
      </c>
      <c r="D38" s="177"/>
      <c r="E38" s="50"/>
      <c r="F38" s="51"/>
      <c r="G38" s="213" t="s">
        <v>41</v>
      </c>
      <c r="H38" s="170"/>
      <c r="I38" s="189">
        <f>I36+I34+I37</f>
        <v>30423547.172113776</v>
      </c>
      <c r="J38" s="190">
        <f aca="true" t="shared" si="24" ref="J38:AL38">J36+J34+J37</f>
        <v>25876206.987891667</v>
      </c>
      <c r="K38" s="190">
        <f t="shared" si="24"/>
        <v>21338746.31503531</v>
      </c>
      <c r="L38" s="190">
        <f t="shared" si="24"/>
        <v>16811406.771833576</v>
      </c>
      <c r="M38" s="190">
        <f t="shared" si="24"/>
        <v>12294435.923251385</v>
      </c>
      <c r="N38" s="190">
        <f>N36+N34+N37</f>
        <v>7788087.428211321</v>
      </c>
      <c r="O38" s="190">
        <f t="shared" si="24"/>
        <v>6821265.434320144</v>
      </c>
      <c r="P38" s="190">
        <f t="shared" si="24"/>
        <v>7198323.504129307</v>
      </c>
      <c r="Q38" s="190">
        <f t="shared" si="24"/>
        <v>7583311.625308239</v>
      </c>
      <c r="R38" s="190">
        <f t="shared" si="24"/>
        <v>7976367.373724035</v>
      </c>
      <c r="S38" s="82">
        <f t="shared" si="24"/>
        <v>8377628.956277855</v>
      </c>
      <c r="T38" s="190">
        <f t="shared" si="24"/>
        <v>8787235.08614898</v>
      </c>
      <c r="U38" s="190">
        <f t="shared" si="24"/>
        <v>9205324.84760796</v>
      </c>
      <c r="V38" s="190">
        <f t="shared" si="24"/>
        <v>3779607.3373880032</v>
      </c>
      <c r="W38" s="82">
        <f t="shared" si="24"/>
        <v>2948045.6347037433</v>
      </c>
      <c r="X38" s="82">
        <f t="shared" si="24"/>
        <v>3047690.429715952</v>
      </c>
      <c r="Y38" s="82">
        <f t="shared" si="24"/>
        <v>3143651.6200968362</v>
      </c>
      <c r="Z38" s="190">
        <f t="shared" si="24"/>
        <v>3235519.9065376874</v>
      </c>
      <c r="AA38" s="190">
        <f t="shared" si="24"/>
        <v>3322859.051643975</v>
      </c>
      <c r="AB38" s="190">
        <f t="shared" si="24"/>
        <v>3405204.3168958034</v>
      </c>
      <c r="AC38" s="190">
        <f t="shared" si="24"/>
        <v>0</v>
      </c>
      <c r="AD38" s="190">
        <f t="shared" si="24"/>
        <v>0</v>
      </c>
      <c r="AE38" s="190">
        <f t="shared" si="24"/>
        <v>0</v>
      </c>
      <c r="AF38" s="190">
        <f t="shared" si="24"/>
        <v>0</v>
      </c>
      <c r="AG38" s="190">
        <f t="shared" si="24"/>
        <v>0</v>
      </c>
      <c r="AH38" s="190">
        <f t="shared" si="24"/>
        <v>0</v>
      </c>
      <c r="AI38" s="82">
        <f t="shared" si="24"/>
        <v>0</v>
      </c>
      <c r="AJ38" s="190">
        <f t="shared" si="24"/>
        <v>0</v>
      </c>
      <c r="AK38" s="190">
        <f t="shared" si="24"/>
        <v>0</v>
      </c>
      <c r="AL38" s="81">
        <f t="shared" si="24"/>
        <v>0</v>
      </c>
      <c r="AM38" s="51"/>
      <c r="AN38" s="50"/>
    </row>
    <row r="39" spans="1:40" ht="15.75" thickTop="1">
      <c r="A39" s="57" t="s">
        <v>6</v>
      </c>
      <c r="B39" s="162" t="s">
        <v>89</v>
      </c>
      <c r="C39" s="234">
        <v>0</v>
      </c>
      <c r="D39" s="177"/>
      <c r="E39" s="50"/>
      <c r="F39" s="51"/>
      <c r="G39" s="214"/>
      <c r="H39" s="171"/>
      <c r="I39" s="169"/>
      <c r="J39" s="151"/>
      <c r="K39" s="151"/>
      <c r="L39" s="151"/>
      <c r="M39" s="151"/>
      <c r="N39" s="151"/>
      <c r="O39" s="151"/>
      <c r="P39" s="151"/>
      <c r="Q39" s="151"/>
      <c r="R39" s="151"/>
      <c r="S39" s="73"/>
      <c r="T39" s="151"/>
      <c r="U39" s="151"/>
      <c r="V39" s="151"/>
      <c r="W39" s="73"/>
      <c r="X39" s="73"/>
      <c r="Y39" s="73"/>
      <c r="Z39" s="151"/>
      <c r="AA39" s="151"/>
      <c r="AB39" s="151"/>
      <c r="AC39" s="151"/>
      <c r="AD39" s="151"/>
      <c r="AE39" s="151"/>
      <c r="AF39" s="151"/>
      <c r="AG39" s="151"/>
      <c r="AH39" s="151"/>
      <c r="AI39" s="73"/>
      <c r="AJ39" s="151"/>
      <c r="AK39" s="151"/>
      <c r="AL39" s="117"/>
      <c r="AM39" s="51"/>
      <c r="AN39" s="50"/>
    </row>
    <row r="40" spans="1:43" ht="15.75" thickBot="1">
      <c r="A40" s="57" t="s">
        <v>7</v>
      </c>
      <c r="B40" s="162" t="s">
        <v>89</v>
      </c>
      <c r="C40" s="234">
        <v>0</v>
      </c>
      <c r="D40" s="177"/>
      <c r="E40" s="50"/>
      <c r="F40" s="51"/>
      <c r="G40" s="211" t="s">
        <v>38</v>
      </c>
      <c r="H40" s="202"/>
      <c r="I40" s="181">
        <f aca="true" t="shared" si="25" ref="I40:AL40">IF(I8&gt;$C$34,0,(I34)/(1+$C$30)^(I8-0.5))</f>
        <v>5417579.689258105</v>
      </c>
      <c r="J40" s="181">
        <f t="shared" si="25"/>
        <v>5331010.2715461</v>
      </c>
      <c r="K40" s="181">
        <f t="shared" si="25"/>
        <v>5230202.769654536</v>
      </c>
      <c r="L40" s="181">
        <f t="shared" si="25"/>
        <v>5117598.554908229</v>
      </c>
      <c r="M40" s="181">
        <f t="shared" si="25"/>
        <v>4995362.697639159</v>
      </c>
      <c r="N40" s="181">
        <f t="shared" si="25"/>
        <v>4865411.17428896</v>
      </c>
      <c r="O40" s="181">
        <f t="shared" si="25"/>
        <v>3912066.024689908</v>
      </c>
      <c r="P40" s="181">
        <f t="shared" si="25"/>
        <v>3789876.722283515</v>
      </c>
      <c r="Q40" s="181">
        <f t="shared" si="25"/>
        <v>3665262.826156387</v>
      </c>
      <c r="R40" s="181">
        <f t="shared" si="25"/>
        <v>3539189.8834897345</v>
      </c>
      <c r="S40" s="181">
        <f t="shared" si="25"/>
        <v>3412497.433983747</v>
      </c>
      <c r="T40" s="181">
        <f t="shared" si="25"/>
        <v>3285912.189975535</v>
      </c>
      <c r="U40" s="181">
        <f t="shared" si="25"/>
        <v>3160059.963080396</v>
      </c>
      <c r="V40" s="181">
        <f t="shared" si="25"/>
        <v>1191119.6365156283</v>
      </c>
      <c r="W40" s="181">
        <f t="shared" si="25"/>
        <v>852894.667864533</v>
      </c>
      <c r="X40" s="181">
        <f t="shared" si="25"/>
        <v>809439.7817781934</v>
      </c>
      <c r="Y40" s="181">
        <f t="shared" si="25"/>
        <v>766479.6017802181</v>
      </c>
      <c r="Z40" s="181">
        <f t="shared" si="25"/>
        <v>724207.07389382</v>
      </c>
      <c r="AA40" s="181">
        <f t="shared" si="25"/>
        <v>682783.633871026</v>
      </c>
      <c r="AB40" s="181">
        <f t="shared" si="25"/>
        <v>642342.791072112</v>
      </c>
      <c r="AC40" s="181">
        <f t="shared" si="25"/>
        <v>0</v>
      </c>
      <c r="AD40" s="181">
        <f t="shared" si="25"/>
        <v>0</v>
      </c>
      <c r="AE40" s="181">
        <f t="shared" si="25"/>
        <v>0</v>
      </c>
      <c r="AF40" s="181">
        <f t="shared" si="25"/>
        <v>0</v>
      </c>
      <c r="AG40" s="181">
        <f t="shared" si="25"/>
        <v>0</v>
      </c>
      <c r="AH40" s="181">
        <f t="shared" si="25"/>
        <v>0</v>
      </c>
      <c r="AI40" s="181">
        <f t="shared" si="25"/>
        <v>0</v>
      </c>
      <c r="AJ40" s="181">
        <f t="shared" si="25"/>
        <v>0</v>
      </c>
      <c r="AK40" s="181">
        <f t="shared" si="25"/>
        <v>0</v>
      </c>
      <c r="AL40" s="184">
        <f t="shared" si="25"/>
        <v>0</v>
      </c>
      <c r="AM40" s="51"/>
      <c r="AN40" s="50"/>
      <c r="AQ40" s="179" t="s">
        <v>99</v>
      </c>
    </row>
    <row r="41" spans="1:43" ht="16.5" thickBot="1" thickTop="1">
      <c r="A41" s="484" t="s">
        <v>142</v>
      </c>
      <c r="B41" s="162" t="s">
        <v>89</v>
      </c>
      <c r="C41" s="234">
        <v>0</v>
      </c>
      <c r="E41" s="50"/>
      <c r="F41" s="51"/>
      <c r="G41" s="211" t="s">
        <v>39</v>
      </c>
      <c r="H41" s="202"/>
      <c r="I41" s="181">
        <f aca="true" t="shared" si="26" ref="I41:AL41">IF(I8&gt;$C$34,0,(I38)/(1+$C$30)^(I8-0.5))</f>
        <v>29149834.71302676</v>
      </c>
      <c r="J41" s="181">
        <f t="shared" si="26"/>
        <v>22760372.26458284</v>
      </c>
      <c r="K41" s="181">
        <f t="shared" si="26"/>
        <v>17230589.710605197</v>
      </c>
      <c r="L41" s="181">
        <f t="shared" si="26"/>
        <v>12462001.34627312</v>
      </c>
      <c r="M41" s="181">
        <f t="shared" si="26"/>
        <v>8366519.767025412</v>
      </c>
      <c r="N41" s="181">
        <f t="shared" si="26"/>
        <v>4865411.17428896</v>
      </c>
      <c r="O41" s="181">
        <f t="shared" si="26"/>
        <v>3912066.024689908</v>
      </c>
      <c r="P41" s="181">
        <f t="shared" si="26"/>
        <v>3789876.722283515</v>
      </c>
      <c r="Q41" s="181">
        <f t="shared" si="26"/>
        <v>3665262.826156387</v>
      </c>
      <c r="R41" s="181">
        <f t="shared" si="26"/>
        <v>3539189.8834897345</v>
      </c>
      <c r="S41" s="181">
        <f t="shared" si="26"/>
        <v>3412497.433983747</v>
      </c>
      <c r="T41" s="181">
        <f t="shared" si="26"/>
        <v>3285912.189975535</v>
      </c>
      <c r="U41" s="181">
        <f t="shared" si="26"/>
        <v>3160059.963080396</v>
      </c>
      <c r="V41" s="181">
        <f t="shared" si="26"/>
        <v>1191119.6365156283</v>
      </c>
      <c r="W41" s="181">
        <f t="shared" si="26"/>
        <v>852894.667864533</v>
      </c>
      <c r="X41" s="181">
        <f t="shared" si="26"/>
        <v>809439.7817781934</v>
      </c>
      <c r="Y41" s="181">
        <f t="shared" si="26"/>
        <v>766479.6017802181</v>
      </c>
      <c r="Z41" s="181">
        <f t="shared" si="26"/>
        <v>724207.07389382</v>
      </c>
      <c r="AA41" s="181">
        <f t="shared" si="26"/>
        <v>682783.633871026</v>
      </c>
      <c r="AB41" s="181">
        <f t="shared" si="26"/>
        <v>642342.791072112</v>
      </c>
      <c r="AC41" s="181">
        <f t="shared" si="26"/>
        <v>0</v>
      </c>
      <c r="AD41" s="181">
        <f t="shared" si="26"/>
        <v>0</v>
      </c>
      <c r="AE41" s="181">
        <f t="shared" si="26"/>
        <v>0</v>
      </c>
      <c r="AF41" s="181">
        <f t="shared" si="26"/>
        <v>0</v>
      </c>
      <c r="AG41" s="181">
        <f t="shared" si="26"/>
        <v>0</v>
      </c>
      <c r="AH41" s="181">
        <f t="shared" si="26"/>
        <v>0</v>
      </c>
      <c r="AI41" s="181">
        <f t="shared" si="26"/>
        <v>0</v>
      </c>
      <c r="AJ41" s="181">
        <f t="shared" si="26"/>
        <v>0</v>
      </c>
      <c r="AK41" s="181">
        <f t="shared" si="26"/>
        <v>0</v>
      </c>
      <c r="AL41" s="184">
        <f t="shared" si="26"/>
        <v>0</v>
      </c>
      <c r="AM41" s="51"/>
      <c r="AN41" s="50"/>
      <c r="AQ41" s="128">
        <f>'ICAP Price&amp;Impact'!N50</f>
        <v>-0.013191</v>
      </c>
    </row>
    <row r="42" spans="1:40" ht="16.5" thickBot="1" thickTop="1">
      <c r="A42" s="78" t="s">
        <v>35</v>
      </c>
      <c r="B42" s="131"/>
      <c r="C42" s="161"/>
      <c r="E42" s="50"/>
      <c r="F42" s="51"/>
      <c r="G42" s="215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62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242"/>
      <c r="AM42" s="51"/>
      <c r="AN42" s="50"/>
    </row>
    <row r="43" spans="1:40" ht="15.75" thickBot="1">
      <c r="A43" s="57" t="s">
        <v>90</v>
      </c>
      <c r="B43" s="149"/>
      <c r="C43" s="237">
        <f>((1+C29)/(1+C$31))-1</f>
        <v>0.030009775171065733</v>
      </c>
      <c r="D43" s="166"/>
      <c r="E43" s="50"/>
      <c r="F43" s="51"/>
      <c r="G43" s="70" t="s">
        <v>24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6"/>
      <c r="AM43" s="51"/>
      <c r="AN43" s="50"/>
    </row>
    <row r="44" spans="1:40" ht="15">
      <c r="A44" s="57" t="s">
        <v>91</v>
      </c>
      <c r="B44" s="149"/>
      <c r="C44" s="237">
        <f>((1+C30)/(1+C$31))-1</f>
        <v>0.064809384164223</v>
      </c>
      <c r="E44" s="50"/>
      <c r="F44" s="51"/>
      <c r="G44" s="223" t="s">
        <v>43</v>
      </c>
      <c r="H44" s="219"/>
      <c r="I44" s="224">
        <f>IF($C$35="MACRS",VLOOKUP($C$36,'Depreciation Tables'!$B$35:$AF$40,I8+1),IF($C$35="StraightLine",VLOOKUP($C$36,'Depreciation Tables'!$B$3:$AF$32,I8+1),VLOOKUP($C$36,'Depreciation Tables'!$B$43:$AF$44,I8+1)))</f>
        <v>0.2</v>
      </c>
      <c r="J44" s="224">
        <f>IF($C$35="MACRS",VLOOKUP($C$36,'Depreciation Tables'!$B$35:$AF$40,J8+1),IF($C$35="StraightLine",VLOOKUP($C$36,'Depreciation Tables'!$B$3:$AF$32,J8+1),VLOOKUP($C$36,'Depreciation Tables'!$B$43:$AF$44,J8+1)))</f>
        <v>0.32</v>
      </c>
      <c r="K44" s="224">
        <f>IF($C$35="MACRS",VLOOKUP($C$36,'Depreciation Tables'!$B$35:$AF$40,K8+1),IF($C$35="StraightLine",VLOOKUP($C$36,'Depreciation Tables'!$B$3:$AF$32,K8+1),VLOOKUP($C$36,'Depreciation Tables'!$B$43:$AF$44,K8+1)))</f>
        <v>0.192</v>
      </c>
      <c r="L44" s="224">
        <f>IF($C$35="MACRS",VLOOKUP($C$36,'Depreciation Tables'!$B$35:$AF$40,L8+1),IF($C$35="StraightLine",VLOOKUP($C$36,'Depreciation Tables'!$B$3:$AF$32,L8+1),VLOOKUP($C$36,'Depreciation Tables'!$B$43:$AF$44,L8+1)))</f>
        <v>0.1152</v>
      </c>
      <c r="M44" s="224">
        <f>IF($C$35="MACRS",VLOOKUP($C$36,'Depreciation Tables'!$B$35:$AF$40,M8+1),IF($C$35="StraightLine",VLOOKUP($C$36,'Depreciation Tables'!$B$3:$AF$32,M8+1),VLOOKUP($C$36,'Depreciation Tables'!$B$43:$AF$44,M8+1)))</f>
        <v>0.1152</v>
      </c>
      <c r="N44" s="224">
        <f>IF($C$35="MACRS",VLOOKUP($C$36,'Depreciation Tables'!$B$35:$AF$40,N8+1),IF($C$35="StraightLine",VLOOKUP($C$36,'Depreciation Tables'!$B$3:$AF$32,N8+1),VLOOKUP($C$36,'Depreciation Tables'!$B$43:$AF$44,N8+1)))</f>
        <v>0.0576</v>
      </c>
      <c r="O44" s="224">
        <f>IF($C$35="MACRS",VLOOKUP($C$36,'Depreciation Tables'!$B$35:$AF$40,O8+1),IF($C$35="StraightLine",VLOOKUP($C$36,'Depreciation Tables'!$B$3:$AF$32,O8+1),VLOOKUP($C$36,'Depreciation Tables'!$B$43:$AF$44,O8+1)))</f>
        <v>0</v>
      </c>
      <c r="P44" s="224">
        <f>IF($C$35="MACRS",VLOOKUP($C$36,'Depreciation Tables'!$B$35:$AF$40,P8+1),IF($C$35="StraightLine",VLOOKUP($C$36,'Depreciation Tables'!$B$3:$AF$32,P8+1),VLOOKUP($C$36,'Depreciation Tables'!$B$43:$AF$44,P8+1)))</f>
        <v>0</v>
      </c>
      <c r="Q44" s="224">
        <f>IF($C$35="MACRS",VLOOKUP($C$36,'Depreciation Tables'!$B$35:$AF$40,Q8+1),IF($C$35="StraightLine",VLOOKUP($C$36,'Depreciation Tables'!$B$3:$AF$32,Q8+1),VLOOKUP($C$36,'Depreciation Tables'!$B$43:$AF$44,Q8+1)))</f>
        <v>0</v>
      </c>
      <c r="R44" s="224">
        <f>IF($C$35="MACRS",VLOOKUP($C$36,'Depreciation Tables'!$B$35:$AF$40,R8+1),IF($C$35="StraightLine",VLOOKUP($C$36,'Depreciation Tables'!$B$3:$AF$32,R8+1),VLOOKUP($C$36,'Depreciation Tables'!$B$43:$AF$44,R8+1)))</f>
        <v>0</v>
      </c>
      <c r="S44" s="224">
        <f>IF($C$35="MACRS",VLOOKUP($C$36,'Depreciation Tables'!$B$35:$AF$40,S8+1),IF($C$35="StraightLine",VLOOKUP($C$36,'Depreciation Tables'!$B$3:$AF$32,S8+1),VLOOKUP($C$36,'Depreciation Tables'!$B$43:$AF$44,S8+1)))</f>
        <v>0</v>
      </c>
      <c r="T44" s="224">
        <f>IF($C$35="MACRS",VLOOKUP($C$36,'Depreciation Tables'!$B$35:$AF$40,T8+1),IF($C$35="StraightLine",VLOOKUP($C$36,'Depreciation Tables'!$B$3:$AF$32,T8+1),VLOOKUP($C$36,'Depreciation Tables'!$B$43:$AF$44,T8+1)))</f>
        <v>0</v>
      </c>
      <c r="U44" s="224">
        <f>IF($C$35="MACRS",VLOOKUP($C$36,'Depreciation Tables'!$B$35:$AF$40,U8+1),IF($C$35="StraightLine",VLOOKUP($C$36,'Depreciation Tables'!$B$3:$AF$32,U8+1),VLOOKUP($C$36,'Depreciation Tables'!$B$43:$AF$44,U8+1)))</f>
        <v>0</v>
      </c>
      <c r="V44" s="224">
        <f>IF($C$35="MACRS",VLOOKUP($C$36,'Depreciation Tables'!$B$35:$AF$40,V8+1),IF($C$35="StraightLine",VLOOKUP($C$36,'Depreciation Tables'!$B$3:$AF$32,V8+1),VLOOKUP($C$36,'Depreciation Tables'!$B$43:$AF$44,V8+1)))</f>
        <v>0</v>
      </c>
      <c r="W44" s="224">
        <f>IF($C$35="MACRS",VLOOKUP($C$36,'Depreciation Tables'!$B$35:$AF$40,W8+1),IF($C$35="StraightLine",VLOOKUP($C$36,'Depreciation Tables'!$B$3:$AF$32,W8+1),VLOOKUP($C$36,'Depreciation Tables'!$B$43:$AF$44,W8+1)))</f>
        <v>0</v>
      </c>
      <c r="X44" s="224">
        <f>IF($C$35="MACRS",VLOOKUP($C$36,'Depreciation Tables'!$B$35:$AF$40,X8+1),IF($C$35="StraightLine",VLOOKUP($C$36,'Depreciation Tables'!$B$3:$AF$32,X8+1),VLOOKUP($C$36,'Depreciation Tables'!$B$43:$AF$44,X8+1)))</f>
        <v>0</v>
      </c>
      <c r="Y44" s="224">
        <f>IF($C$35="MACRS",VLOOKUP($C$36,'Depreciation Tables'!$B$35:$AF$40,Y8+1),IF($C$35="StraightLine",VLOOKUP($C$36,'Depreciation Tables'!$B$3:$AF$32,Y8+1),VLOOKUP($C$36,'Depreciation Tables'!$B$43:$AF$44,Y8+1)))</f>
        <v>0</v>
      </c>
      <c r="Z44" s="224">
        <f>IF($C$35="MACRS",VLOOKUP($C$36,'Depreciation Tables'!$B$35:$AF$40,Z8+1),IF($C$35="StraightLine",VLOOKUP($C$36,'Depreciation Tables'!$B$3:$AF$32,Z8+1),VLOOKUP($C$36,'Depreciation Tables'!$B$43:$AF$44,Z8+1)))</f>
        <v>0</v>
      </c>
      <c r="AA44" s="224">
        <f>IF($C$35="MACRS",VLOOKUP($C$36,'Depreciation Tables'!$B$35:$AF$40,AA8+1),IF($C$35="StraightLine",VLOOKUP($C$36,'Depreciation Tables'!$B$3:$AF$32,AA8+1),VLOOKUP($C$36,'Depreciation Tables'!$B$43:$AF$44,AA8+1)))</f>
        <v>0</v>
      </c>
      <c r="AB44" s="224">
        <f>IF($C$35="MACRS",VLOOKUP($C$36,'Depreciation Tables'!$B$35:$AF$40,AB8+1),IF($C$35="StraightLine",VLOOKUP($C$36,'Depreciation Tables'!$B$3:$AF$32,AB8+1),VLOOKUP($C$36,'Depreciation Tables'!$B$43:$AF$44,AB8+1)))</f>
        <v>0</v>
      </c>
      <c r="AC44" s="224">
        <f>IF($C$35="MACRS",VLOOKUP($C$36,'Depreciation Tables'!$B$35:$AF$40,AC8+1),IF($C$35="StraightLine",VLOOKUP($C$36,'Depreciation Tables'!$B$3:$AF$32,AC8+1),VLOOKUP($C$36,'Depreciation Tables'!$B$43:$AF$44,AC8+1)))</f>
        <v>0</v>
      </c>
      <c r="AD44" s="224">
        <f>IF($C$35="MACRS",VLOOKUP($C$36,'Depreciation Tables'!$B$35:$AF$40,AD8+1),IF($C$35="StraightLine",VLOOKUP($C$36,'Depreciation Tables'!$B$3:$AF$32,AD8+1),VLOOKUP($C$36,'Depreciation Tables'!$B$43:$AF$44,AD8+1)))</f>
        <v>0</v>
      </c>
      <c r="AE44" s="224">
        <f>IF($C$35="MACRS",VLOOKUP($C$36,'Depreciation Tables'!$B$35:$AF$40,AE8+1),IF($C$35="StraightLine",VLOOKUP($C$36,'Depreciation Tables'!$B$3:$AF$32,AE8+1),VLOOKUP($C$36,'Depreciation Tables'!$B$43:$AF$44,AE8+1)))</f>
        <v>0</v>
      </c>
      <c r="AF44" s="224">
        <f>IF($C$35="MACRS",VLOOKUP($C$36,'Depreciation Tables'!$B$35:$AF$40,AF8+1),IF($C$35="StraightLine",VLOOKUP($C$36,'Depreciation Tables'!$B$3:$AF$32,AF8+1),VLOOKUP($C$36,'Depreciation Tables'!$B$43:$AF$44,AF8+1)))</f>
        <v>0</v>
      </c>
      <c r="AG44" s="224">
        <f>IF($C$35="MACRS",VLOOKUP($C$36,'Depreciation Tables'!$B$35:$AF$40,AG8+1),IF($C$35="StraightLine",VLOOKUP($C$36,'Depreciation Tables'!$B$3:$AF$32,AG8+1),VLOOKUP($C$36,'Depreciation Tables'!$B$43:$AF$44,AG8+1)))</f>
        <v>0</v>
      </c>
      <c r="AH44" s="224">
        <f>IF($C$35="MACRS",VLOOKUP($C$36,'Depreciation Tables'!$B$35:$AF$40,AH8+1),IF($C$35="StraightLine",VLOOKUP($C$36,'Depreciation Tables'!$B$3:$AF$32,AH8+1),VLOOKUP($C$36,'Depreciation Tables'!$B$43:$AF$44,AH8+1)))</f>
        <v>0</v>
      </c>
      <c r="AI44" s="224">
        <f>IF($C$35="MACRS",VLOOKUP($C$36,'Depreciation Tables'!$B$35:$AF$40,AI8+1),IF($C$35="StraightLine",VLOOKUP($C$36,'Depreciation Tables'!$B$3:$AF$32,AI8+1),VLOOKUP($C$36,'Depreciation Tables'!$B$43:$AF$44,AI8+1)))</f>
        <v>0</v>
      </c>
      <c r="AJ44" s="224">
        <f>IF($C$35="MACRS",VLOOKUP($C$36,'Depreciation Tables'!$B$35:$AF$40,AJ8+1),IF($C$35="StraightLine",VLOOKUP($C$36,'Depreciation Tables'!$B$3:$AF$32,AJ8+1),VLOOKUP($C$36,'Depreciation Tables'!$B$43:$AF$44,AJ8+1)))</f>
        <v>0</v>
      </c>
      <c r="AK44" s="224">
        <f>IF($C$35="MACRS",VLOOKUP($C$36,'Depreciation Tables'!$B$35:$AF$40,AK8+1),IF($C$35="StraightLine",VLOOKUP($C$36,'Depreciation Tables'!$B$3:$AF$32,AK8+1),VLOOKUP($C$36,'Depreciation Tables'!$B$43:$AF$44,AK8+1)))</f>
        <v>0</v>
      </c>
      <c r="AL44" s="120">
        <f>IF($C$35="MACRS",VLOOKUP($C$36,'Depreciation Tables'!$B$35:$AF$40,AL8+1),IF($C$35="StraightLine",VLOOKUP($C$36,'Depreciation Tables'!$B$3:$AF$32,AL8+1),VLOOKUP($C$36,'Depreciation Tables'!$B$43:$AF$44,AL8+1)))</f>
        <v>0</v>
      </c>
      <c r="AM44" s="51"/>
      <c r="AN44" s="50"/>
    </row>
    <row r="45" spans="1:40" ht="15">
      <c r="A45" s="57" t="s">
        <v>92</v>
      </c>
      <c r="B45" s="149"/>
      <c r="C45" s="237">
        <f>C27*C43+C28*C44</f>
        <v>0.047409579667644364</v>
      </c>
      <c r="D45" s="166"/>
      <c r="E45" s="50"/>
      <c r="F45" s="51"/>
      <c r="G45" s="207" t="s">
        <v>30</v>
      </c>
      <c r="H45" s="159"/>
      <c r="I45" s="197">
        <f>C8</f>
        <v>270000000</v>
      </c>
      <c r="J45" s="197">
        <f>I47</f>
        <v>216000000</v>
      </c>
      <c r="K45" s="197">
        <f aca="true" t="shared" si="27" ref="K45:R45">J47</f>
        <v>129600000</v>
      </c>
      <c r="L45" s="197">
        <f t="shared" si="27"/>
        <v>77760000</v>
      </c>
      <c r="M45" s="197">
        <f t="shared" si="27"/>
        <v>46656000</v>
      </c>
      <c r="N45" s="197">
        <f t="shared" si="27"/>
        <v>15552000</v>
      </c>
      <c r="O45" s="197">
        <f t="shared" si="27"/>
        <v>0</v>
      </c>
      <c r="P45" s="197">
        <f t="shared" si="27"/>
        <v>0</v>
      </c>
      <c r="Q45" s="197">
        <f t="shared" si="27"/>
        <v>0</v>
      </c>
      <c r="R45" s="197">
        <f t="shared" si="27"/>
        <v>0</v>
      </c>
      <c r="S45" s="197">
        <f>R47</f>
        <v>0</v>
      </c>
      <c r="T45" s="197">
        <f>S47</f>
        <v>0</v>
      </c>
      <c r="U45" s="197">
        <f>T47</f>
        <v>0</v>
      </c>
      <c r="V45" s="197">
        <f>U47</f>
        <v>0</v>
      </c>
      <c r="W45" s="197">
        <f>V47</f>
        <v>0</v>
      </c>
      <c r="X45" s="197">
        <f>W47</f>
        <v>0</v>
      </c>
      <c r="Y45" s="197">
        <f>X47</f>
        <v>0</v>
      </c>
      <c r="Z45" s="197">
        <f aca="true" t="shared" si="28" ref="Z45:AG45">Y47</f>
        <v>0</v>
      </c>
      <c r="AA45" s="197">
        <f t="shared" si="28"/>
        <v>0</v>
      </c>
      <c r="AB45" s="197">
        <f t="shared" si="28"/>
        <v>0</v>
      </c>
      <c r="AC45" s="197">
        <f t="shared" si="28"/>
        <v>0</v>
      </c>
      <c r="AD45" s="197">
        <f t="shared" si="28"/>
        <v>0</v>
      </c>
      <c r="AE45" s="197">
        <f t="shared" si="28"/>
        <v>0</v>
      </c>
      <c r="AF45" s="197">
        <f t="shared" si="28"/>
        <v>0</v>
      </c>
      <c r="AG45" s="197">
        <f t="shared" si="28"/>
        <v>0</v>
      </c>
      <c r="AH45" s="197">
        <f>AG47</f>
        <v>0</v>
      </c>
      <c r="AI45" s="197">
        <f>AH47</f>
        <v>0</v>
      </c>
      <c r="AJ45" s="197">
        <f>AI47</f>
        <v>0</v>
      </c>
      <c r="AK45" s="197">
        <f>AJ47</f>
        <v>0</v>
      </c>
      <c r="AL45" s="121">
        <f>AK47</f>
        <v>0</v>
      </c>
      <c r="AM45" s="51"/>
      <c r="AN45" s="50"/>
    </row>
    <row r="46" spans="1:45" ht="15">
      <c r="A46" s="57" t="s">
        <v>36</v>
      </c>
      <c r="B46" s="162"/>
      <c r="C46" s="151">
        <f>PMT(C29,C34,(C27*C8))</f>
        <v>-11175180.427532744</v>
      </c>
      <c r="E46" s="50"/>
      <c r="F46" s="51"/>
      <c r="G46" s="207" t="s">
        <v>29</v>
      </c>
      <c r="H46" s="159"/>
      <c r="I46" s="169">
        <f>-MIN($I$45*I44,I45)</f>
        <v>-54000000</v>
      </c>
      <c r="J46" s="169">
        <f aca="true" t="shared" si="29" ref="J46:AL46">-MIN($I$45*J44,J45)</f>
        <v>-86400000</v>
      </c>
      <c r="K46" s="169">
        <f t="shared" si="29"/>
        <v>-51840000</v>
      </c>
      <c r="L46" s="169">
        <f t="shared" si="29"/>
        <v>-31104000</v>
      </c>
      <c r="M46" s="169">
        <f t="shared" si="29"/>
        <v>-31104000</v>
      </c>
      <c r="N46" s="169">
        <f t="shared" si="29"/>
        <v>-15552000</v>
      </c>
      <c r="O46" s="169">
        <f t="shared" si="29"/>
        <v>0</v>
      </c>
      <c r="P46" s="169">
        <f t="shared" si="29"/>
        <v>0</v>
      </c>
      <c r="Q46" s="169">
        <f t="shared" si="29"/>
        <v>0</v>
      </c>
      <c r="R46" s="198">
        <f t="shared" si="29"/>
        <v>0</v>
      </c>
      <c r="S46" s="198">
        <f t="shared" si="29"/>
        <v>0</v>
      </c>
      <c r="T46" s="198">
        <f t="shared" si="29"/>
        <v>0</v>
      </c>
      <c r="U46" s="198">
        <f t="shared" si="29"/>
        <v>0</v>
      </c>
      <c r="V46" s="198">
        <f t="shared" si="29"/>
        <v>0</v>
      </c>
      <c r="W46" s="198">
        <f t="shared" si="29"/>
        <v>0</v>
      </c>
      <c r="X46" s="198">
        <f t="shared" si="29"/>
        <v>0</v>
      </c>
      <c r="Y46" s="198">
        <f t="shared" si="29"/>
        <v>0</v>
      </c>
      <c r="Z46" s="169">
        <f t="shared" si="29"/>
        <v>0</v>
      </c>
      <c r="AA46" s="169">
        <f t="shared" si="29"/>
        <v>0</v>
      </c>
      <c r="AB46" s="169">
        <f t="shared" si="29"/>
        <v>0</v>
      </c>
      <c r="AC46" s="169">
        <f t="shared" si="29"/>
        <v>0</v>
      </c>
      <c r="AD46" s="169">
        <f t="shared" si="29"/>
        <v>0</v>
      </c>
      <c r="AE46" s="169">
        <f t="shared" si="29"/>
        <v>0</v>
      </c>
      <c r="AF46" s="169">
        <f t="shared" si="29"/>
        <v>0</v>
      </c>
      <c r="AG46" s="198">
        <f t="shared" si="29"/>
        <v>0</v>
      </c>
      <c r="AH46" s="198">
        <f t="shared" si="29"/>
        <v>0</v>
      </c>
      <c r="AI46" s="198">
        <f t="shared" si="29"/>
        <v>0</v>
      </c>
      <c r="AJ46" s="198">
        <f t="shared" si="29"/>
        <v>0</v>
      </c>
      <c r="AK46" s="198">
        <f t="shared" si="29"/>
        <v>0</v>
      </c>
      <c r="AL46" s="225">
        <f t="shared" si="29"/>
        <v>0</v>
      </c>
      <c r="AM46" s="51"/>
      <c r="AN46" s="50"/>
      <c r="AQ46" s="607" t="s">
        <v>153</v>
      </c>
      <c r="AR46" s="606"/>
      <c r="AS46" s="608">
        <v>0.35</v>
      </c>
    </row>
    <row r="47" spans="1:45" ht="15.75" thickBot="1">
      <c r="A47" s="162"/>
      <c r="B47" s="162"/>
      <c r="C47" s="146"/>
      <c r="E47" s="50"/>
      <c r="F47" s="51"/>
      <c r="G47" s="226" t="s">
        <v>34</v>
      </c>
      <c r="H47" s="161"/>
      <c r="I47" s="193">
        <f>SUM(I45:I46)</f>
        <v>216000000</v>
      </c>
      <c r="J47" s="193">
        <f aca="true" t="shared" si="30" ref="J47:R47">SUM(J45:J46)</f>
        <v>129600000</v>
      </c>
      <c r="K47" s="193">
        <f t="shared" si="30"/>
        <v>77760000</v>
      </c>
      <c r="L47" s="193">
        <f t="shared" si="30"/>
        <v>46656000</v>
      </c>
      <c r="M47" s="193">
        <f t="shared" si="30"/>
        <v>15552000</v>
      </c>
      <c r="N47" s="193">
        <f>SUM(N45:N46)</f>
        <v>0</v>
      </c>
      <c r="O47" s="193">
        <f t="shared" si="30"/>
        <v>0</v>
      </c>
      <c r="P47" s="193">
        <f t="shared" si="30"/>
        <v>0</v>
      </c>
      <c r="Q47" s="193">
        <f t="shared" si="30"/>
        <v>0</v>
      </c>
      <c r="R47" s="195">
        <f t="shared" si="30"/>
        <v>0</v>
      </c>
      <c r="S47" s="195">
        <f>SUM(S45:S46)</f>
        <v>0</v>
      </c>
      <c r="T47" s="195">
        <f aca="true" t="shared" si="31" ref="T47:AB47">SUM(T45:T46)</f>
        <v>0</v>
      </c>
      <c r="U47" s="195">
        <f t="shared" si="31"/>
        <v>0</v>
      </c>
      <c r="V47" s="195">
        <f t="shared" si="31"/>
        <v>0</v>
      </c>
      <c r="W47" s="195">
        <f t="shared" si="31"/>
        <v>0</v>
      </c>
      <c r="X47" s="195">
        <f t="shared" si="31"/>
        <v>0</v>
      </c>
      <c r="Y47" s="195">
        <f t="shared" si="31"/>
        <v>0</v>
      </c>
      <c r="Z47" s="193">
        <f t="shared" si="31"/>
        <v>0</v>
      </c>
      <c r="AA47" s="193">
        <f t="shared" si="31"/>
        <v>0</v>
      </c>
      <c r="AB47" s="193">
        <f t="shared" si="31"/>
        <v>0</v>
      </c>
      <c r="AC47" s="193">
        <f>SUM(AC45:AC46)</f>
        <v>0</v>
      </c>
      <c r="AD47" s="193">
        <f>SUM(AD45:AD46)</f>
        <v>0</v>
      </c>
      <c r="AE47" s="193">
        <f>SUM(AE45:AE46)</f>
        <v>0</v>
      </c>
      <c r="AF47" s="193">
        <f>SUM(AF45:AF46)</f>
        <v>0</v>
      </c>
      <c r="AG47" s="195">
        <f>SUM(AG45:AG46)</f>
        <v>0</v>
      </c>
      <c r="AH47" s="195">
        <f>SUM(AH45:AH46)</f>
        <v>0</v>
      </c>
      <c r="AI47" s="195">
        <f>SUM(AI45:AI46)</f>
        <v>0</v>
      </c>
      <c r="AJ47" s="195">
        <f>SUM(AJ45:AJ46)</f>
        <v>0</v>
      </c>
      <c r="AK47" s="195">
        <f>SUM(AK45:AK46)</f>
        <v>0</v>
      </c>
      <c r="AL47" s="97">
        <f>SUM(AL45:AL46)</f>
        <v>0</v>
      </c>
      <c r="AM47" s="51"/>
      <c r="AN47" s="50"/>
      <c r="AQ47" s="607" t="s">
        <v>154</v>
      </c>
      <c r="AR47" s="606"/>
      <c r="AS47" s="608">
        <v>0.071</v>
      </c>
    </row>
    <row r="48" spans="1:45" ht="16.5" thickBot="1" thickTop="1">
      <c r="A48" s="150"/>
      <c r="B48" s="150"/>
      <c r="C48" s="150"/>
      <c r="E48" s="50"/>
      <c r="F48" s="51"/>
      <c r="G48" s="215"/>
      <c r="H48" s="216"/>
      <c r="I48" s="186"/>
      <c r="J48" s="216"/>
      <c r="K48" s="216"/>
      <c r="L48" s="216"/>
      <c r="M48" s="216"/>
      <c r="N48" s="216"/>
      <c r="O48" s="216"/>
      <c r="P48" s="216"/>
      <c r="Q48" s="216"/>
      <c r="R48" s="216"/>
      <c r="S48" s="62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242"/>
      <c r="AM48" s="51"/>
      <c r="AN48" s="50"/>
      <c r="AQ48" s="607" t="s">
        <v>155</v>
      </c>
      <c r="AR48" s="606"/>
      <c r="AS48" s="609">
        <v>0.0885</v>
      </c>
    </row>
    <row r="49" spans="1:45" ht="18" thickBot="1">
      <c r="A49" s="133" t="s">
        <v>42</v>
      </c>
      <c r="B49" s="134"/>
      <c r="C49" s="135"/>
      <c r="E49" s="50"/>
      <c r="F49" s="51"/>
      <c r="G49" s="70" t="s">
        <v>31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6"/>
      <c r="AM49" s="51"/>
      <c r="AN49" s="50"/>
      <c r="AQ49" s="607" t="s">
        <v>14</v>
      </c>
      <c r="AR49" s="606"/>
      <c r="AS49" s="608">
        <f>AS46+(1-AS46)*(AS47+AS48)</f>
        <v>0.45367499999999994</v>
      </c>
    </row>
    <row r="50" spans="1:45" ht="18">
      <c r="A50" s="136" t="s">
        <v>37</v>
      </c>
      <c r="B50" s="137"/>
      <c r="C50" s="142">
        <f ca="1">SUM(I40:OFFSET($H$40,0,$C$34))-($C$8*C28)</f>
        <v>-73608702.61227016</v>
      </c>
      <c r="E50" s="50"/>
      <c r="F50" s="51"/>
      <c r="G50" s="218" t="s">
        <v>30</v>
      </c>
      <c r="H50" s="219"/>
      <c r="I50" s="220">
        <f>IF(I8&gt;C34,0,C27*C8)</f>
        <v>135000000</v>
      </c>
      <c r="J50" s="221">
        <f aca="true" t="shared" si="32" ref="J50:AL50">IF(J8&gt;$C$34,0,I53)</f>
        <v>131074319.57246725</v>
      </c>
      <c r="K50" s="221">
        <f t="shared" si="32"/>
        <v>126937830.105976</v>
      </c>
      <c r="L50" s="221">
        <f t="shared" si="32"/>
        <v>122579211.15513417</v>
      </c>
      <c r="M50" s="221">
        <f t="shared" si="32"/>
        <v>117986534.36663213</v>
      </c>
      <c r="N50" s="221">
        <f t="shared" si="32"/>
        <v>113147230.83458753</v>
      </c>
      <c r="O50" s="221">
        <f t="shared" si="32"/>
        <v>108048056.70287214</v>
      </c>
      <c r="P50" s="221">
        <f t="shared" si="32"/>
        <v>102675056.92028363</v>
      </c>
      <c r="Q50" s="221">
        <f t="shared" si="32"/>
        <v>97013527.04937011</v>
      </c>
      <c r="R50" s="221">
        <f t="shared" si="32"/>
        <v>91047973.02438854</v>
      </c>
      <c r="S50" s="221">
        <f t="shared" si="32"/>
        <v>84762068.74826546</v>
      </c>
      <c r="T50" s="221">
        <f t="shared" si="32"/>
        <v>78138611.41251457</v>
      </c>
      <c r="U50" s="221">
        <f t="shared" si="32"/>
        <v>71159474.41783385</v>
      </c>
      <c r="V50" s="221">
        <f t="shared" si="32"/>
        <v>63805557.766538784</v>
      </c>
      <c r="W50" s="221">
        <f t="shared" si="32"/>
        <v>56056735.79106917</v>
      </c>
      <c r="X50" s="221">
        <f t="shared" si="32"/>
        <v>47891802.07551684</v>
      </c>
      <c r="Y50" s="221">
        <f t="shared" si="32"/>
        <v>39288411.41943935</v>
      </c>
      <c r="Z50" s="221">
        <f t="shared" si="32"/>
        <v>30223018.685130503</v>
      </c>
      <c r="AA50" s="221">
        <f t="shared" si="32"/>
        <v>20670814.360989265</v>
      </c>
      <c r="AB50" s="221">
        <f t="shared" si="32"/>
        <v>10605656.664641645</v>
      </c>
      <c r="AC50" s="221">
        <f t="shared" si="32"/>
        <v>0</v>
      </c>
      <c r="AD50" s="221">
        <f t="shared" si="32"/>
        <v>0</v>
      </c>
      <c r="AE50" s="221">
        <f t="shared" si="32"/>
        <v>0</v>
      </c>
      <c r="AF50" s="221">
        <f t="shared" si="32"/>
        <v>0</v>
      </c>
      <c r="AG50" s="221">
        <f t="shared" si="32"/>
        <v>0</v>
      </c>
      <c r="AH50" s="221">
        <f t="shared" si="32"/>
        <v>0</v>
      </c>
      <c r="AI50" s="221">
        <f t="shared" si="32"/>
        <v>0</v>
      </c>
      <c r="AJ50" s="221">
        <f t="shared" si="32"/>
        <v>0</v>
      </c>
      <c r="AK50" s="221">
        <f t="shared" si="32"/>
        <v>0</v>
      </c>
      <c r="AL50" s="96">
        <f t="shared" si="32"/>
        <v>0</v>
      </c>
      <c r="AM50" s="51"/>
      <c r="AN50" s="50"/>
      <c r="AQ50" s="602"/>
      <c r="AR50" s="602"/>
      <c r="AS50" s="608">
        <f>(1-AS46)*(AS47+AS48)</f>
        <v>0.10367499999999999</v>
      </c>
    </row>
    <row r="51" spans="1:40" ht="18" thickBot="1">
      <c r="A51" s="138" t="s">
        <v>105</v>
      </c>
      <c r="B51" s="132"/>
      <c r="C51" s="139"/>
      <c r="E51" s="50"/>
      <c r="F51" s="51"/>
      <c r="G51" s="206" t="s">
        <v>32</v>
      </c>
      <c r="H51" s="160"/>
      <c r="I51" s="166">
        <f aca="true" t="shared" si="33" ref="I51:AL51">IF(I8&gt;$C$34,0,-I50*$C$29)</f>
        <v>-7249500</v>
      </c>
      <c r="J51" s="166">
        <f t="shared" si="33"/>
        <v>-7038690.9610414915</v>
      </c>
      <c r="K51" s="166">
        <f t="shared" si="33"/>
        <v>-6816561.476690911</v>
      </c>
      <c r="L51" s="166">
        <f t="shared" si="33"/>
        <v>-6582503.639030704</v>
      </c>
      <c r="M51" s="166">
        <f t="shared" si="33"/>
        <v>-6335876.895488146</v>
      </c>
      <c r="N51" s="166">
        <f t="shared" si="33"/>
        <v>-6076006.29581735</v>
      </c>
      <c r="O51" s="166">
        <f t="shared" si="33"/>
        <v>-5802180.644944234</v>
      </c>
      <c r="P51" s="166">
        <f t="shared" si="33"/>
        <v>-5513650.556619231</v>
      </c>
      <c r="Q51" s="166">
        <f t="shared" si="33"/>
        <v>-5209626.402551175</v>
      </c>
      <c r="R51" s="166">
        <f t="shared" si="33"/>
        <v>-4889276.151409664</v>
      </c>
      <c r="S51" s="166">
        <f t="shared" si="33"/>
        <v>-4551723.091781855</v>
      </c>
      <c r="T51" s="166">
        <f t="shared" si="33"/>
        <v>-4196043.432852032</v>
      </c>
      <c r="U51" s="166">
        <f t="shared" si="33"/>
        <v>-3821263.776237678</v>
      </c>
      <c r="V51" s="166">
        <f t="shared" si="33"/>
        <v>-3426358.4520631325</v>
      </c>
      <c r="W51" s="166">
        <f t="shared" si="33"/>
        <v>-3010246.7119804146</v>
      </c>
      <c r="X51" s="166">
        <f t="shared" si="33"/>
        <v>-2571789.7714552544</v>
      </c>
      <c r="Y51" s="166">
        <f t="shared" si="33"/>
        <v>-2109787.693223893</v>
      </c>
      <c r="Z51" s="166">
        <f t="shared" si="33"/>
        <v>-1622976.1033915079</v>
      </c>
      <c r="AA51" s="166">
        <f t="shared" si="33"/>
        <v>-1110022.7311851236</v>
      </c>
      <c r="AB51" s="166">
        <f t="shared" si="33"/>
        <v>-569523.7628912563</v>
      </c>
      <c r="AC51" s="166">
        <f t="shared" si="33"/>
        <v>0</v>
      </c>
      <c r="AD51" s="166">
        <f t="shared" si="33"/>
        <v>0</v>
      </c>
      <c r="AE51" s="166">
        <f t="shared" si="33"/>
        <v>0</v>
      </c>
      <c r="AF51" s="166">
        <f t="shared" si="33"/>
        <v>0</v>
      </c>
      <c r="AG51" s="166">
        <f t="shared" si="33"/>
        <v>0</v>
      </c>
      <c r="AH51" s="166">
        <f t="shared" si="33"/>
        <v>0</v>
      </c>
      <c r="AI51" s="166">
        <f t="shared" si="33"/>
        <v>0</v>
      </c>
      <c r="AJ51" s="166">
        <f t="shared" si="33"/>
        <v>0</v>
      </c>
      <c r="AK51" s="166">
        <f t="shared" si="33"/>
        <v>0</v>
      </c>
      <c r="AL51" s="249">
        <f t="shared" si="33"/>
        <v>0</v>
      </c>
      <c r="AM51" s="51"/>
      <c r="AN51" s="50"/>
    </row>
    <row r="52" spans="1:40" ht="18" thickBot="1">
      <c r="A52" s="140" t="s">
        <v>104</v>
      </c>
      <c r="B52" s="141"/>
      <c r="C52" s="143">
        <f ca="1">SUM(I41:OFFSET($H$41,0,$C$34))-($C$8*C28)</f>
        <v>-9731138.793762982</v>
      </c>
      <c r="E52" s="50"/>
      <c r="F52" s="51"/>
      <c r="G52" s="206" t="s">
        <v>33</v>
      </c>
      <c r="H52" s="160"/>
      <c r="I52" s="166">
        <f aca="true" t="shared" si="34" ref="I52:AL52">IF(I8&gt;$C$34,0,$C$46-I51)</f>
        <v>-3925680.4275327437</v>
      </c>
      <c r="J52" s="166">
        <f t="shared" si="34"/>
        <v>-4136489.466491252</v>
      </c>
      <c r="K52" s="166">
        <f t="shared" si="34"/>
        <v>-4358618.950841833</v>
      </c>
      <c r="L52" s="166">
        <f t="shared" si="34"/>
        <v>-4592676.788502039</v>
      </c>
      <c r="M52" s="166">
        <f t="shared" si="34"/>
        <v>-4839303.532044598</v>
      </c>
      <c r="N52" s="166">
        <f t="shared" si="34"/>
        <v>-5099174.131715394</v>
      </c>
      <c r="O52" s="166">
        <f t="shared" si="34"/>
        <v>-5372999.78258851</v>
      </c>
      <c r="P52" s="166">
        <f t="shared" si="34"/>
        <v>-5661529.870913513</v>
      </c>
      <c r="Q52" s="166">
        <f t="shared" si="34"/>
        <v>-5965554.024981569</v>
      </c>
      <c r="R52" s="166">
        <f t="shared" si="34"/>
        <v>-6285904.2761230795</v>
      </c>
      <c r="S52" s="166">
        <f t="shared" si="34"/>
        <v>-6623457.335750889</v>
      </c>
      <c r="T52" s="166">
        <f t="shared" si="34"/>
        <v>-6979136.994680712</v>
      </c>
      <c r="U52" s="166">
        <f t="shared" si="34"/>
        <v>-7353916.651295066</v>
      </c>
      <c r="V52" s="166">
        <f t="shared" si="34"/>
        <v>-7748821.975469612</v>
      </c>
      <c r="W52" s="166">
        <f t="shared" si="34"/>
        <v>-8164933.715552329</v>
      </c>
      <c r="X52" s="166">
        <f t="shared" si="34"/>
        <v>-8603390.65607749</v>
      </c>
      <c r="Y52" s="166">
        <f t="shared" si="34"/>
        <v>-9065392.73430885</v>
      </c>
      <c r="Z52" s="166">
        <f t="shared" si="34"/>
        <v>-9552204.324141236</v>
      </c>
      <c r="AA52" s="166">
        <f t="shared" si="34"/>
        <v>-10065157.69634762</v>
      </c>
      <c r="AB52" s="166">
        <f t="shared" si="34"/>
        <v>-10605656.664641488</v>
      </c>
      <c r="AC52" s="166">
        <f t="shared" si="34"/>
        <v>0</v>
      </c>
      <c r="AD52" s="166">
        <f t="shared" si="34"/>
        <v>0</v>
      </c>
      <c r="AE52" s="166">
        <f t="shared" si="34"/>
        <v>0</v>
      </c>
      <c r="AF52" s="166">
        <f t="shared" si="34"/>
        <v>0</v>
      </c>
      <c r="AG52" s="166">
        <f t="shared" si="34"/>
        <v>0</v>
      </c>
      <c r="AH52" s="166">
        <f t="shared" si="34"/>
        <v>0</v>
      </c>
      <c r="AI52" s="166">
        <f t="shared" si="34"/>
        <v>0</v>
      </c>
      <c r="AJ52" s="166">
        <f t="shared" si="34"/>
        <v>0</v>
      </c>
      <c r="AK52" s="166">
        <f t="shared" si="34"/>
        <v>0</v>
      </c>
      <c r="AL52" s="249">
        <f t="shared" si="34"/>
        <v>0</v>
      </c>
      <c r="AM52" s="51"/>
      <c r="AN52" s="50"/>
    </row>
    <row r="53" spans="5:40" ht="15.75" thickBot="1">
      <c r="E53" s="50"/>
      <c r="F53" s="51"/>
      <c r="G53" s="222" t="s">
        <v>34</v>
      </c>
      <c r="H53" s="154"/>
      <c r="I53" s="193">
        <f>I50+I52</f>
        <v>131074319.57246725</v>
      </c>
      <c r="J53" s="194">
        <f>J50+J52</f>
        <v>126937830.105976</v>
      </c>
      <c r="K53" s="194">
        <f aca="true" t="shared" si="35" ref="K53:R53">K50+K52</f>
        <v>122579211.15513417</v>
      </c>
      <c r="L53" s="194">
        <f t="shared" si="35"/>
        <v>117986534.36663213</v>
      </c>
      <c r="M53" s="194">
        <f t="shared" si="35"/>
        <v>113147230.83458753</v>
      </c>
      <c r="N53" s="194">
        <f t="shared" si="35"/>
        <v>108048056.70287214</v>
      </c>
      <c r="O53" s="194">
        <f t="shared" si="35"/>
        <v>102675056.92028363</v>
      </c>
      <c r="P53" s="194">
        <f t="shared" si="35"/>
        <v>97013527.04937011</v>
      </c>
      <c r="Q53" s="194">
        <f t="shared" si="35"/>
        <v>91047973.02438854</v>
      </c>
      <c r="R53" s="194">
        <f t="shared" si="35"/>
        <v>84762068.74826546</v>
      </c>
      <c r="S53" s="194">
        <f>S50+S52</f>
        <v>78138611.41251457</v>
      </c>
      <c r="T53" s="194">
        <f>T50+T52</f>
        <v>71159474.41783385</v>
      </c>
      <c r="U53" s="194">
        <f>U50+U52</f>
        <v>63805557.766538784</v>
      </c>
      <c r="V53" s="194">
        <f>V50+V52</f>
        <v>56056735.79106917</v>
      </c>
      <c r="W53" s="194">
        <f>W50+W52</f>
        <v>47891802.07551684</v>
      </c>
      <c r="X53" s="194">
        <f>X50+X52</f>
        <v>39288411.41943935</v>
      </c>
      <c r="Y53" s="194">
        <f>Y50+Y52</f>
        <v>30223018.685130503</v>
      </c>
      <c r="Z53" s="194">
        <f aca="true" t="shared" si="36" ref="Z53:AG53">Z50+Z52</f>
        <v>20670814.360989265</v>
      </c>
      <c r="AA53" s="194">
        <f t="shared" si="36"/>
        <v>10605656.664641645</v>
      </c>
      <c r="AB53" s="194">
        <f t="shared" si="36"/>
        <v>1.564621925354004E-07</v>
      </c>
      <c r="AC53" s="194">
        <f t="shared" si="36"/>
        <v>0</v>
      </c>
      <c r="AD53" s="194">
        <f t="shared" si="36"/>
        <v>0</v>
      </c>
      <c r="AE53" s="194">
        <f t="shared" si="36"/>
        <v>0</v>
      </c>
      <c r="AF53" s="194">
        <f t="shared" si="36"/>
        <v>0</v>
      </c>
      <c r="AG53" s="194">
        <f t="shared" si="36"/>
        <v>0</v>
      </c>
      <c r="AH53" s="194">
        <f>AH50+AH52</f>
        <v>0</v>
      </c>
      <c r="AI53" s="194">
        <f>AI50+AI52</f>
        <v>0</v>
      </c>
      <c r="AJ53" s="194">
        <f>AJ50+AJ52</f>
        <v>0</v>
      </c>
      <c r="AK53" s="194">
        <f>AK50+AK52</f>
        <v>0</v>
      </c>
      <c r="AL53" s="95">
        <f>AL50+AL52</f>
        <v>0</v>
      </c>
      <c r="AM53" s="51"/>
      <c r="AN53" s="50"/>
    </row>
    <row r="54" spans="5:40" ht="9.75" customHeight="1" thickBot="1" thickTop="1">
      <c r="E54" s="50"/>
      <c r="F54" s="51"/>
      <c r="G54" s="215"/>
      <c r="H54" s="216"/>
      <c r="I54" s="186"/>
      <c r="J54" s="216"/>
      <c r="K54" s="216"/>
      <c r="L54" s="216"/>
      <c r="M54" s="216"/>
      <c r="N54" s="216"/>
      <c r="O54" s="216"/>
      <c r="P54" s="216"/>
      <c r="Q54" s="216"/>
      <c r="R54" s="216"/>
      <c r="S54" s="74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7"/>
      <c r="AM54" s="51"/>
      <c r="AN54" s="50"/>
    </row>
    <row r="55" spans="5:40" ht="5.25" customHeight="1"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0"/>
    </row>
    <row r="56" spans="2:40" ht="15">
      <c r="B56" s="69" t="s">
        <v>77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8" spans="1:3" ht="14.25">
      <c r="A58" s="611" t="s">
        <v>156</v>
      </c>
      <c r="B58" s="610"/>
      <c r="C58" s="612">
        <f>C52/C9/1000</f>
        <v>-97.31138793762982</v>
      </c>
    </row>
    <row r="60" spans="7:19" ht="14.25">
      <c r="G60" s="116"/>
      <c r="H60" s="65"/>
      <c r="I60" s="60"/>
      <c r="S60" s="122"/>
    </row>
    <row r="61" ht="14.25">
      <c r="R61" s="604"/>
    </row>
    <row r="62" spans="9:38" ht="14.25">
      <c r="I62" s="604"/>
      <c r="AI62" s="116"/>
      <c r="AJ62" s="116"/>
      <c r="AK62" s="116"/>
      <c r="AL62" s="116"/>
    </row>
    <row r="63" spans="9:10" ht="14.25">
      <c r="I63" s="144"/>
      <c r="J63" s="122"/>
    </row>
    <row r="64" spans="1:9" ht="18">
      <c r="A64" s="94"/>
      <c r="I64" s="144"/>
    </row>
    <row r="65" spans="1:18" ht="18">
      <c r="A65" s="94"/>
      <c r="I65" s="126"/>
      <c r="J65" s="126"/>
      <c r="K65" s="126"/>
      <c r="L65" s="126"/>
      <c r="M65" s="126"/>
      <c r="N65" s="127"/>
      <c r="O65" s="127"/>
      <c r="P65" s="127"/>
      <c r="Q65" s="127"/>
      <c r="R65" s="127"/>
    </row>
    <row r="66" spans="15:18" ht="14.25">
      <c r="O66" s="168"/>
      <c r="P66" s="168"/>
      <c r="Q66" s="168"/>
      <c r="R66" s="168"/>
    </row>
    <row r="67" spans="9:13" ht="14.25">
      <c r="I67" s="129"/>
      <c r="J67" s="129"/>
      <c r="K67" s="129"/>
      <c r="L67" s="129"/>
      <c r="M67" s="129"/>
    </row>
  </sheetData>
  <sheetProtection/>
  <mergeCells count="1">
    <mergeCell ref="A4:C4"/>
  </mergeCells>
  <conditionalFormatting sqref="A66:A65531 A57:A63 A49:A55 G44:AL48 G50:AL54 G57:AL65529 C23 AM57:AM65528 F58:F65528 D7:D65523 AN57:AN65527 A4:A5 D4:D5 B5:C5 G8:AL10 AO1:IV65536 C19:C21 A48:C48 E58:E65527 B18:B23 B24:C47 B49:C65531 E57:F57 A47 B7:C17 G12:AL42">
    <cfRule type="cellIs" priority="5" dxfId="28" operator="lessThan">
      <formula>0</formula>
    </cfRule>
  </conditionalFormatting>
  <conditionalFormatting sqref="C29:C30">
    <cfRule type="cellIs" priority="4" dxfId="28" operator="lessThan">
      <formula>0</formula>
    </cfRule>
  </conditionalFormatting>
  <conditionalFormatting sqref="G21">
    <cfRule type="cellIs" priority="3" dxfId="28" operator="lessThan">
      <formula>0</formula>
    </cfRule>
  </conditionalFormatting>
  <conditionalFormatting sqref="AQ46:AQ49">
    <cfRule type="cellIs" priority="2" dxfId="28" operator="lessThan">
      <formula>0</formula>
    </cfRule>
  </conditionalFormatting>
  <conditionalFormatting sqref="AQ46:AS50">
    <cfRule type="cellIs" priority="1" dxfId="28" operator="lessThan">
      <formula>0</formula>
    </cfRule>
  </conditionalFormatting>
  <dataValidations count="8">
    <dataValidation type="list" allowBlank="1" showInputMessage="1" showErrorMessage="1" sqref="C15">
      <formula1>"0,15,25"</formula1>
    </dataValidation>
    <dataValidation type="list" allowBlank="1" showInputMessage="1" showErrorMessage="1" sqref="C47 C25">
      <formula1>"YES, NO"</formula1>
    </dataValidation>
    <dataValidation type="list" allowBlank="1" showInputMessage="1" showErrorMessage="1" sqref="C36">
      <formula1>INDIRECT($C$35)</formula1>
    </dataValidation>
    <dataValidation type="list" allowBlank="1" showInputMessage="1" showErrorMessage="1" sqref="C35">
      <formula1>$AP$7:$AR$7</formula1>
    </dataValidation>
    <dataValidation type="list" allowBlank="1" showInputMessage="1" showErrorMessage="1" sqref="C34">
      <formula1>"1, 2, 3, 4, 5, 6, 7, 8, 9, 10, 11, 12, 13, 14, 15,16,17,18,19,20,21,22,23,24,25,26,27,28,29,30"</formula1>
    </dataValidation>
    <dataValidation type="list" allowBlank="1" showInputMessage="1" showErrorMessage="1" sqref="C24">
      <formula1>"-10, -9, -8, -7, -6, -5, -4, -3, -2, -1, 0, 1, 2, 3, 4, 5, 6, 7, 8, 9, 10"</formula1>
    </dataValidation>
    <dataValidation type="list" allowBlank="1" showInputMessage="1" showErrorMessage="1" sqref="D26">
      <formula1>"1, 2, 3, 4, 5"</formula1>
    </dataValidation>
    <dataValidation type="list" allowBlank="1" showInputMessage="1" showErrorMessage="1" sqref="M63">
      <formula1>$O$63:$O$65</formula1>
    </dataValidation>
  </dataValidations>
  <printOptions/>
  <pageMargins left="0.7" right="0.7" top="0.75" bottom="0.75" header="0.3" footer="0.3"/>
  <pageSetup horizontalDpi="600" verticalDpi="600" orientation="portrait" r:id="rId1"/>
  <headerFooter>
    <oddFooter>&amp;RPrepared by Julia Popova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zoomScale="70" zoomScaleNormal="70" zoomScalePageLayoutView="0" workbookViewId="0" topLeftCell="A1">
      <pane xSplit="7" ySplit="7" topLeftCell="H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9" sqref="I9"/>
    </sheetView>
  </sheetViews>
  <sheetFormatPr defaultColWidth="9.140625" defaultRowHeight="15"/>
  <cols>
    <col min="1" max="1" width="38.421875" style="602" customWidth="1"/>
    <col min="2" max="2" width="12.421875" style="602" bestFit="1" customWidth="1"/>
    <col min="3" max="3" width="20.00390625" style="602" bestFit="1" customWidth="1"/>
    <col min="4" max="4" width="2.7109375" style="545" customWidth="1"/>
    <col min="5" max="5" width="3.00390625" style="602" customWidth="1"/>
    <col min="6" max="6" width="1.57421875" style="602" customWidth="1"/>
    <col min="7" max="7" width="51.00390625" style="602" bestFit="1" customWidth="1"/>
    <col min="8" max="8" width="11.140625" style="602" bestFit="1" customWidth="1"/>
    <col min="9" max="10" width="17.7109375" style="602" bestFit="1" customWidth="1"/>
    <col min="11" max="12" width="17.28125" style="602" bestFit="1" customWidth="1"/>
    <col min="13" max="14" width="16.7109375" style="602" bestFit="1" customWidth="1"/>
    <col min="15" max="15" width="15.7109375" style="602" bestFit="1" customWidth="1"/>
    <col min="16" max="16" width="16.00390625" style="602" bestFit="1" customWidth="1"/>
    <col min="17" max="17" width="16.7109375" style="602" bestFit="1" customWidth="1"/>
    <col min="18" max="19" width="17.28125" style="602" bestFit="1" customWidth="1"/>
    <col min="20" max="20" width="17.7109375" style="602" bestFit="1" customWidth="1"/>
    <col min="21" max="22" width="17.28125" style="602" bestFit="1" customWidth="1"/>
    <col min="23" max="23" width="16.7109375" style="602" bestFit="1" customWidth="1"/>
    <col min="24" max="24" width="16.00390625" style="602" bestFit="1" customWidth="1"/>
    <col min="25" max="25" width="15.7109375" style="602" bestFit="1" customWidth="1"/>
    <col min="26" max="26" width="16.00390625" style="602" bestFit="1" customWidth="1"/>
    <col min="27" max="28" width="16.7109375" style="602" bestFit="1" customWidth="1"/>
    <col min="29" max="35" width="8.8515625" style="602" bestFit="1" customWidth="1"/>
    <col min="36" max="36" width="8.8515625" style="602" customWidth="1"/>
    <col min="37" max="38" width="8.8515625" style="602" bestFit="1" customWidth="1"/>
    <col min="39" max="40" width="1.421875" style="602" customWidth="1"/>
    <col min="41" max="41" width="9.140625" style="602" customWidth="1"/>
    <col min="42" max="42" width="8.7109375" style="602" bestFit="1" customWidth="1"/>
    <col min="43" max="43" width="14.8515625" style="602" bestFit="1" customWidth="1"/>
    <col min="44" max="16384" width="9.140625" style="602" customWidth="1"/>
  </cols>
  <sheetData>
    <row r="1" ht="23.25">
      <c r="A1" s="584" t="s">
        <v>124</v>
      </c>
    </row>
    <row r="2" ht="23.25">
      <c r="A2" s="584" t="s">
        <v>122</v>
      </c>
    </row>
    <row r="3" ht="23.25">
      <c r="A3" s="584" t="s">
        <v>123</v>
      </c>
    </row>
    <row r="4" spans="1:3" ht="21">
      <c r="A4" s="613" t="s">
        <v>157</v>
      </c>
      <c r="B4" s="614"/>
      <c r="C4" s="614"/>
    </row>
    <row r="5" spans="1:40" ht="15">
      <c r="A5" s="465"/>
      <c r="B5" s="465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</row>
    <row r="6" spans="5:40" ht="5.25" customHeight="1">
      <c r="E6" s="477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7"/>
    </row>
    <row r="7" spans="1:44" ht="15.75" thickBot="1">
      <c r="A7" s="479" t="s">
        <v>0</v>
      </c>
      <c r="B7" s="528"/>
      <c r="E7" s="477"/>
      <c r="F7" s="478"/>
      <c r="G7" s="481" t="s">
        <v>64</v>
      </c>
      <c r="H7" s="482">
        <v>42491</v>
      </c>
      <c r="I7" s="483">
        <v>42856</v>
      </c>
      <c r="J7" s="483">
        <v>43221</v>
      </c>
      <c r="K7" s="483">
        <v>43586</v>
      </c>
      <c r="L7" s="483">
        <v>43952</v>
      </c>
      <c r="M7" s="483">
        <v>44317</v>
      </c>
      <c r="N7" s="483">
        <v>44682</v>
      </c>
      <c r="O7" s="483">
        <v>45047</v>
      </c>
      <c r="P7" s="483">
        <v>45413</v>
      </c>
      <c r="Q7" s="483">
        <v>45778</v>
      </c>
      <c r="R7" s="483">
        <v>46143</v>
      </c>
      <c r="S7" s="483">
        <v>46508</v>
      </c>
      <c r="T7" s="483">
        <v>46874</v>
      </c>
      <c r="U7" s="483">
        <v>47239</v>
      </c>
      <c r="V7" s="483">
        <v>47604</v>
      </c>
      <c r="W7" s="483">
        <v>47969</v>
      </c>
      <c r="X7" s="483">
        <v>48335</v>
      </c>
      <c r="Y7" s="483">
        <v>48700</v>
      </c>
      <c r="Z7" s="483">
        <v>49065</v>
      </c>
      <c r="AA7" s="483">
        <v>49430</v>
      </c>
      <c r="AB7" s="483">
        <v>49796</v>
      </c>
      <c r="AC7" s="483">
        <v>50161</v>
      </c>
      <c r="AD7" s="483">
        <v>50526</v>
      </c>
      <c r="AE7" s="483">
        <v>50891</v>
      </c>
      <c r="AF7" s="483">
        <v>51257</v>
      </c>
      <c r="AG7" s="483">
        <v>51622</v>
      </c>
      <c r="AH7" s="483">
        <v>51987</v>
      </c>
      <c r="AI7" s="483">
        <v>52352</v>
      </c>
      <c r="AJ7" s="483">
        <v>52718</v>
      </c>
      <c r="AK7" s="483">
        <v>53083</v>
      </c>
      <c r="AL7" s="483">
        <v>53448</v>
      </c>
      <c r="AM7" s="478"/>
      <c r="AN7" s="477"/>
      <c r="AP7" s="555" t="s">
        <v>45</v>
      </c>
      <c r="AQ7" s="555" t="s">
        <v>46</v>
      </c>
      <c r="AR7" s="555" t="s">
        <v>94</v>
      </c>
    </row>
    <row r="8" spans="1:44" ht="15">
      <c r="A8" s="484" t="s">
        <v>71</v>
      </c>
      <c r="B8" s="488" t="s">
        <v>74</v>
      </c>
      <c r="C8" s="573">
        <f>1800*1.25*C9*1000</f>
        <v>225000000</v>
      </c>
      <c r="D8" s="431"/>
      <c r="E8" s="477"/>
      <c r="F8" s="478"/>
      <c r="G8" s="569" t="s">
        <v>16</v>
      </c>
      <c r="H8" s="570"/>
      <c r="I8" s="571">
        <v>1</v>
      </c>
      <c r="J8" s="571">
        <v>2</v>
      </c>
      <c r="K8" s="571">
        <v>3</v>
      </c>
      <c r="L8" s="571">
        <v>4</v>
      </c>
      <c r="M8" s="571">
        <v>5</v>
      </c>
      <c r="N8" s="571">
        <v>6</v>
      </c>
      <c r="O8" s="571">
        <v>7</v>
      </c>
      <c r="P8" s="571">
        <v>8</v>
      </c>
      <c r="Q8" s="571">
        <v>9</v>
      </c>
      <c r="R8" s="571">
        <v>10</v>
      </c>
      <c r="S8" s="571">
        <v>11</v>
      </c>
      <c r="T8" s="571">
        <v>12</v>
      </c>
      <c r="U8" s="571">
        <v>13</v>
      </c>
      <c r="V8" s="571">
        <v>14</v>
      </c>
      <c r="W8" s="571">
        <v>15</v>
      </c>
      <c r="X8" s="571">
        <v>16</v>
      </c>
      <c r="Y8" s="571">
        <v>17</v>
      </c>
      <c r="Z8" s="571">
        <v>18</v>
      </c>
      <c r="AA8" s="571">
        <v>19</v>
      </c>
      <c r="AB8" s="571">
        <v>20</v>
      </c>
      <c r="AC8" s="571">
        <v>21</v>
      </c>
      <c r="AD8" s="571">
        <v>22</v>
      </c>
      <c r="AE8" s="571">
        <v>23</v>
      </c>
      <c r="AF8" s="571">
        <v>24</v>
      </c>
      <c r="AG8" s="571">
        <v>25</v>
      </c>
      <c r="AH8" s="571">
        <v>26</v>
      </c>
      <c r="AI8" s="571">
        <v>27</v>
      </c>
      <c r="AJ8" s="571">
        <v>28</v>
      </c>
      <c r="AK8" s="571">
        <v>29</v>
      </c>
      <c r="AL8" s="572">
        <v>30</v>
      </c>
      <c r="AM8" s="478"/>
      <c r="AN8" s="477"/>
      <c r="AP8" s="555">
        <v>3</v>
      </c>
      <c r="AQ8" s="555">
        <v>1</v>
      </c>
      <c r="AR8" s="555">
        <v>5</v>
      </c>
    </row>
    <row r="9" spans="1:44" ht="15">
      <c r="A9" s="480" t="s">
        <v>63</v>
      </c>
      <c r="B9" s="488" t="s">
        <v>68</v>
      </c>
      <c r="C9" s="574">
        <v>100</v>
      </c>
      <c r="E9" s="477"/>
      <c r="F9" s="478"/>
      <c r="G9" s="560" t="s">
        <v>17</v>
      </c>
      <c r="H9" s="539"/>
      <c r="I9" s="557">
        <f>(1+$C$30)^(I8-1)</f>
        <v>1</v>
      </c>
      <c r="J9" s="557">
        <f aca="true" t="shared" si="0" ref="J9:AL9">(1+$C$30)^(J8-1)</f>
        <v>1.023</v>
      </c>
      <c r="K9" s="557">
        <f t="shared" si="0"/>
        <v>1.0465289999999998</v>
      </c>
      <c r="L9" s="557">
        <f t="shared" si="0"/>
        <v>1.0705991669999997</v>
      </c>
      <c r="M9" s="557">
        <f t="shared" si="0"/>
        <v>1.0952229478409996</v>
      </c>
      <c r="N9" s="557">
        <f t="shared" si="0"/>
        <v>1.1204130756413424</v>
      </c>
      <c r="O9" s="557">
        <f t="shared" si="0"/>
        <v>1.1461825763810933</v>
      </c>
      <c r="P9" s="557">
        <f t="shared" si="0"/>
        <v>1.1725447756378582</v>
      </c>
      <c r="Q9" s="557">
        <f t="shared" si="0"/>
        <v>1.1995133054775289</v>
      </c>
      <c r="R9" s="557">
        <f t="shared" si="0"/>
        <v>1.227102111503512</v>
      </c>
      <c r="S9" s="557">
        <f t="shared" si="0"/>
        <v>1.2553254600680925</v>
      </c>
      <c r="T9" s="557">
        <f t="shared" si="0"/>
        <v>1.2841979456496586</v>
      </c>
      <c r="U9" s="557">
        <f t="shared" si="0"/>
        <v>1.3137344983996007</v>
      </c>
      <c r="V9" s="557">
        <f t="shared" si="0"/>
        <v>1.3439503918627913</v>
      </c>
      <c r="W9" s="557">
        <f t="shared" si="0"/>
        <v>1.3748612508756355</v>
      </c>
      <c r="X9" s="557">
        <f t="shared" si="0"/>
        <v>1.4064830596457747</v>
      </c>
      <c r="Y9" s="557">
        <f t="shared" si="0"/>
        <v>1.4388321700176274</v>
      </c>
      <c r="Z9" s="557">
        <f t="shared" si="0"/>
        <v>1.4719253099280327</v>
      </c>
      <c r="AA9" s="557">
        <f t="shared" si="0"/>
        <v>1.5057795920563775</v>
      </c>
      <c r="AB9" s="557">
        <f t="shared" si="0"/>
        <v>1.5404125226736738</v>
      </c>
      <c r="AC9" s="557">
        <f t="shared" si="0"/>
        <v>1.5758420106951683</v>
      </c>
      <c r="AD9" s="557">
        <f t="shared" si="0"/>
        <v>1.6120863769411569</v>
      </c>
      <c r="AE9" s="557">
        <f t="shared" si="0"/>
        <v>1.6491643636108035</v>
      </c>
      <c r="AF9" s="557">
        <f t="shared" si="0"/>
        <v>1.6870951439738515</v>
      </c>
      <c r="AG9" s="557">
        <f t="shared" si="0"/>
        <v>1.7258983322852501</v>
      </c>
      <c r="AH9" s="557">
        <f t="shared" si="0"/>
        <v>1.7655939939278107</v>
      </c>
      <c r="AI9" s="557">
        <f t="shared" si="0"/>
        <v>1.80620265578815</v>
      </c>
      <c r="AJ9" s="557">
        <f t="shared" si="0"/>
        <v>1.8477453168712774</v>
      </c>
      <c r="AK9" s="557">
        <f t="shared" si="0"/>
        <v>1.8902434591593167</v>
      </c>
      <c r="AL9" s="464">
        <f t="shared" si="0"/>
        <v>1.9337190587199808</v>
      </c>
      <c r="AM9" s="478"/>
      <c r="AN9" s="477"/>
      <c r="AP9" s="555">
        <v>5</v>
      </c>
      <c r="AQ9" s="555">
        <v>2</v>
      </c>
      <c r="AR9" s="555">
        <v>7</v>
      </c>
    </row>
    <row r="10" spans="1:43" ht="15.75" thickBot="1">
      <c r="A10" s="484" t="s">
        <v>66</v>
      </c>
      <c r="B10" s="488" t="s">
        <v>65</v>
      </c>
      <c r="C10" s="485">
        <v>0.2</v>
      </c>
      <c r="D10" s="542"/>
      <c r="E10" s="477"/>
      <c r="F10" s="478"/>
      <c r="G10" s="458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71"/>
      <c r="AM10" s="478"/>
      <c r="AN10" s="477"/>
      <c r="AP10" s="555">
        <v>7</v>
      </c>
      <c r="AQ10" s="555">
        <v>3</v>
      </c>
    </row>
    <row r="11" spans="1:43" ht="15.75" thickBot="1">
      <c r="A11" s="484" t="s">
        <v>67</v>
      </c>
      <c r="B11" s="488" t="s">
        <v>65</v>
      </c>
      <c r="C11" s="485">
        <v>0.3</v>
      </c>
      <c r="D11" s="542"/>
      <c r="E11" s="477"/>
      <c r="F11" s="478"/>
      <c r="G11" s="497" t="s">
        <v>18</v>
      </c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3"/>
      <c r="AM11" s="478"/>
      <c r="AN11" s="477"/>
      <c r="AP11" s="555">
        <v>10</v>
      </c>
      <c r="AQ11" s="555">
        <v>4</v>
      </c>
    </row>
    <row r="12" spans="1:43" ht="15">
      <c r="A12" s="505" t="s">
        <v>3</v>
      </c>
      <c r="B12" s="518"/>
      <c r="C12" s="493"/>
      <c r="D12" s="542"/>
      <c r="E12" s="477"/>
      <c r="F12" s="478"/>
      <c r="G12" s="551" t="s">
        <v>3</v>
      </c>
      <c r="H12" s="451"/>
      <c r="I12" s="438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71"/>
      <c r="AM12" s="478"/>
      <c r="AN12" s="477"/>
      <c r="AP12" s="555">
        <v>15</v>
      </c>
      <c r="AQ12" s="555">
        <v>5</v>
      </c>
    </row>
    <row r="13" spans="1:43" ht="15">
      <c r="A13" s="484" t="s">
        <v>69</v>
      </c>
      <c r="B13" s="519" t="s">
        <v>80</v>
      </c>
      <c r="C13" s="486">
        <v>45</v>
      </c>
      <c r="D13" s="542"/>
      <c r="E13" s="477"/>
      <c r="F13" s="478"/>
      <c r="G13" s="560" t="s">
        <v>19</v>
      </c>
      <c r="H13" s="539"/>
      <c r="I13" s="546">
        <f aca="true" t="shared" si="1" ref="I13:AL13">IF(I8&gt;$C$33,0,($C$18+$C$9*$C$10*$AQ$41*IF($C$22&lt;&gt;0,MAX((($C$22+1-I8)/$C$22),0),0)*12*1000)*$C$9*$C$10*I9*(1+0.0025)^(I8-1))</f>
        <v>1454150.4000000001</v>
      </c>
      <c r="J13" s="546">
        <f t="shared" si="1"/>
        <v>1497888.5903784</v>
      </c>
      <c r="K13" s="546">
        <f t="shared" si="1"/>
        <v>1542912.627956559</v>
      </c>
      <c r="L13" s="546">
        <f t="shared" si="1"/>
        <v>1589259.6696489463</v>
      </c>
      <c r="M13" s="546">
        <f t="shared" si="1"/>
        <v>1636967.931748575</v>
      </c>
      <c r="N13" s="546">
        <f t="shared" si="1"/>
        <v>1686076.7198067661</v>
      </c>
      <c r="O13" s="546">
        <f t="shared" si="1"/>
        <v>1729168.6255732274</v>
      </c>
      <c r="P13" s="546">
        <f t="shared" si="1"/>
        <v>1773361.8527213144</v>
      </c>
      <c r="Q13" s="546">
        <f t="shared" si="1"/>
        <v>1818684.5482722395</v>
      </c>
      <c r="R13" s="546">
        <f t="shared" si="1"/>
        <v>1865165.578614707</v>
      </c>
      <c r="S13" s="546">
        <f t="shared" si="1"/>
        <v>1912834.5478901519</v>
      </c>
      <c r="T13" s="546">
        <f t="shared" si="1"/>
        <v>1961721.8168478543</v>
      </c>
      <c r="U13" s="546">
        <f t="shared" si="1"/>
        <v>2011858.5221819433</v>
      </c>
      <c r="V13" s="546">
        <f t="shared" si="1"/>
        <v>2063276.596362608</v>
      </c>
      <c r="W13" s="546">
        <f t="shared" si="1"/>
        <v>2116008.787974145</v>
      </c>
      <c r="X13" s="546">
        <f t="shared" si="1"/>
        <v>2170088.682572793</v>
      </c>
      <c r="Y13" s="546">
        <f t="shared" si="1"/>
        <v>2225550.7240776476</v>
      </c>
      <c r="Z13" s="546">
        <f t="shared" si="1"/>
        <v>2282430.2367082615</v>
      </c>
      <c r="AA13" s="546">
        <f t="shared" si="1"/>
        <v>2340763.4474829333</v>
      </c>
      <c r="AB13" s="546">
        <f t="shared" si="1"/>
        <v>2400587.509291977</v>
      </c>
      <c r="AC13" s="546">
        <f t="shared" si="1"/>
        <v>0</v>
      </c>
      <c r="AD13" s="546">
        <f t="shared" si="1"/>
        <v>0</v>
      </c>
      <c r="AE13" s="546">
        <f t="shared" si="1"/>
        <v>0</v>
      </c>
      <c r="AF13" s="546">
        <f t="shared" si="1"/>
        <v>0</v>
      </c>
      <c r="AG13" s="546">
        <f t="shared" si="1"/>
        <v>0</v>
      </c>
      <c r="AH13" s="546">
        <f t="shared" si="1"/>
        <v>0</v>
      </c>
      <c r="AI13" s="546">
        <f t="shared" si="1"/>
        <v>0</v>
      </c>
      <c r="AJ13" s="546">
        <f t="shared" si="1"/>
        <v>0</v>
      </c>
      <c r="AK13" s="546">
        <f t="shared" si="1"/>
        <v>0</v>
      </c>
      <c r="AL13" s="525">
        <f t="shared" si="1"/>
        <v>0</v>
      </c>
      <c r="AM13" s="478"/>
      <c r="AN13" s="477"/>
      <c r="AP13" s="555">
        <v>20</v>
      </c>
      <c r="AQ13" s="555">
        <v>6</v>
      </c>
    </row>
    <row r="14" spans="1:43" ht="15">
      <c r="A14" s="484" t="s">
        <v>100</v>
      </c>
      <c r="B14" s="579" t="s">
        <v>80</v>
      </c>
      <c r="C14" s="486">
        <v>23</v>
      </c>
      <c r="D14" s="542"/>
      <c r="E14" s="477"/>
      <c r="F14" s="478"/>
      <c r="G14" s="561" t="s">
        <v>2</v>
      </c>
      <c r="H14" s="538"/>
      <c r="I14" s="544">
        <f aca="true" t="shared" si="2" ref="I14:AL14">MAX(0,IF(I$8&gt;$C$33,0,IF($C$23=0,$C$16,IF($C$23=1,$C$16*I9,$C$16*(I9^$C$23)))))</f>
        <v>11826000</v>
      </c>
      <c r="J14" s="544">
        <f t="shared" si="2"/>
        <v>12097997.999999998</v>
      </c>
      <c r="K14" s="544">
        <f t="shared" si="2"/>
        <v>12376251.953999998</v>
      </c>
      <c r="L14" s="544">
        <f t="shared" si="2"/>
        <v>12660905.748941997</v>
      </c>
      <c r="M14" s="544">
        <f t="shared" si="2"/>
        <v>12952106.58116766</v>
      </c>
      <c r="N14" s="544">
        <f t="shared" si="2"/>
        <v>13250005.032534515</v>
      </c>
      <c r="O14" s="544">
        <f t="shared" si="2"/>
        <v>13554755.14828281</v>
      </c>
      <c r="P14" s="544">
        <f t="shared" si="2"/>
        <v>13866514.51669331</v>
      </c>
      <c r="Q14" s="544">
        <f t="shared" si="2"/>
        <v>14185444.350577256</v>
      </c>
      <c r="R14" s="544">
        <f t="shared" si="2"/>
        <v>14511709.570640532</v>
      </c>
      <c r="S14" s="544">
        <f t="shared" si="2"/>
        <v>14845478.890765263</v>
      </c>
      <c r="T14" s="544">
        <f t="shared" si="2"/>
        <v>15186924.905252863</v>
      </c>
      <c r="U14" s="544">
        <f t="shared" si="2"/>
        <v>15536224.178073678</v>
      </c>
      <c r="V14" s="544">
        <f t="shared" si="2"/>
        <v>15893557.33416937</v>
      </c>
      <c r="W14" s="544">
        <f t="shared" si="2"/>
        <v>16259109.152855266</v>
      </c>
      <c r="X14" s="544">
        <f t="shared" si="2"/>
        <v>16633068.663370932</v>
      </c>
      <c r="Y14" s="544">
        <f t="shared" si="2"/>
        <v>17015629.242628463</v>
      </c>
      <c r="Z14" s="544">
        <f t="shared" si="2"/>
        <v>17406988.715208914</v>
      </c>
      <c r="AA14" s="544">
        <f t="shared" si="2"/>
        <v>17807349.45565872</v>
      </c>
      <c r="AB14" s="544">
        <f t="shared" si="2"/>
        <v>18216918.493138865</v>
      </c>
      <c r="AC14" s="544">
        <f t="shared" si="2"/>
        <v>0</v>
      </c>
      <c r="AD14" s="544">
        <f t="shared" si="2"/>
        <v>0</v>
      </c>
      <c r="AE14" s="544">
        <f t="shared" si="2"/>
        <v>0</v>
      </c>
      <c r="AF14" s="544">
        <f t="shared" si="2"/>
        <v>0</v>
      </c>
      <c r="AG14" s="544">
        <f t="shared" si="2"/>
        <v>0</v>
      </c>
      <c r="AH14" s="544">
        <f t="shared" si="2"/>
        <v>0</v>
      </c>
      <c r="AI14" s="544">
        <f t="shared" si="2"/>
        <v>0</v>
      </c>
      <c r="AJ14" s="544">
        <f t="shared" si="2"/>
        <v>0</v>
      </c>
      <c r="AK14" s="544">
        <f t="shared" si="2"/>
        <v>0</v>
      </c>
      <c r="AL14" s="475">
        <f t="shared" si="2"/>
        <v>0</v>
      </c>
      <c r="AM14" s="478"/>
      <c r="AN14" s="477"/>
      <c r="AP14" s="555"/>
      <c r="AQ14" s="555">
        <v>7</v>
      </c>
    </row>
    <row r="15" spans="1:43" ht="15">
      <c r="A15" s="484" t="s">
        <v>137</v>
      </c>
      <c r="B15" s="579" t="s">
        <v>80</v>
      </c>
      <c r="C15" s="486">
        <v>25</v>
      </c>
      <c r="D15" s="542"/>
      <c r="E15" s="477"/>
      <c r="F15" s="478"/>
      <c r="G15" s="561" t="s">
        <v>135</v>
      </c>
      <c r="H15" s="538"/>
      <c r="I15" s="544">
        <f aca="true" t="shared" si="3" ref="I15:AL15">MAX(0,IF(I$8&gt;$C$33,0,IF($C$23=0,$C$17,IF($C$23=1,$C$17*I9,$C$17*(I9^$C$23)))))</f>
        <v>6570000</v>
      </c>
      <c r="J15" s="544">
        <f t="shared" si="3"/>
        <v>6721109.999999999</v>
      </c>
      <c r="K15" s="544">
        <f t="shared" si="3"/>
        <v>6875695.529999998</v>
      </c>
      <c r="L15" s="544">
        <f t="shared" si="3"/>
        <v>7033836.527189998</v>
      </c>
      <c r="M15" s="544">
        <f t="shared" si="3"/>
        <v>7195614.767315367</v>
      </c>
      <c r="N15" s="544">
        <f t="shared" si="3"/>
        <v>7361113.906963619</v>
      </c>
      <c r="O15" s="544">
        <f t="shared" si="3"/>
        <v>7530419.526823783</v>
      </c>
      <c r="P15" s="544">
        <f t="shared" si="3"/>
        <v>7703619.175940729</v>
      </c>
      <c r="Q15" s="544">
        <f t="shared" si="3"/>
        <v>7880802.416987365</v>
      </c>
      <c r="R15" s="544">
        <f t="shared" si="3"/>
        <v>8062060.872578073</v>
      </c>
      <c r="S15" s="544">
        <f t="shared" si="3"/>
        <v>8247488.272647368</v>
      </c>
      <c r="T15" s="544">
        <f t="shared" si="3"/>
        <v>8437180.502918256</v>
      </c>
      <c r="U15" s="544">
        <f t="shared" si="3"/>
        <v>8631235.654485377</v>
      </c>
      <c r="V15" s="544">
        <f t="shared" si="3"/>
        <v>8829754.074538538</v>
      </c>
      <c r="W15" s="544">
        <f t="shared" si="3"/>
        <v>9032838.418252924</v>
      </c>
      <c r="X15" s="544">
        <f t="shared" si="3"/>
        <v>9240593.70187274</v>
      </c>
      <c r="Y15" s="544">
        <f t="shared" si="3"/>
        <v>9453127.357015813</v>
      </c>
      <c r="Z15" s="544">
        <f t="shared" si="3"/>
        <v>9670549.286227174</v>
      </c>
      <c r="AA15" s="544">
        <f t="shared" si="3"/>
        <v>9892971.9198104</v>
      </c>
      <c r="AB15" s="544">
        <f t="shared" si="3"/>
        <v>10120510.273966037</v>
      </c>
      <c r="AC15" s="544">
        <f t="shared" si="3"/>
        <v>0</v>
      </c>
      <c r="AD15" s="544">
        <f t="shared" si="3"/>
        <v>0</v>
      </c>
      <c r="AE15" s="544">
        <f t="shared" si="3"/>
        <v>0</v>
      </c>
      <c r="AF15" s="544">
        <f t="shared" si="3"/>
        <v>0</v>
      </c>
      <c r="AG15" s="544">
        <f t="shared" si="3"/>
        <v>0</v>
      </c>
      <c r="AH15" s="544">
        <f t="shared" si="3"/>
        <v>0</v>
      </c>
      <c r="AI15" s="544">
        <f t="shared" si="3"/>
        <v>0</v>
      </c>
      <c r="AJ15" s="544">
        <f t="shared" si="3"/>
        <v>0</v>
      </c>
      <c r="AK15" s="544">
        <f t="shared" si="3"/>
        <v>0</v>
      </c>
      <c r="AL15" s="475">
        <f t="shared" si="3"/>
        <v>0</v>
      </c>
      <c r="AM15" s="478"/>
      <c r="AN15" s="477"/>
      <c r="AP15" s="555"/>
      <c r="AQ15" s="555">
        <v>8</v>
      </c>
    </row>
    <row r="16" spans="1:43" ht="15.75" thickBot="1">
      <c r="A16" s="480" t="s">
        <v>70</v>
      </c>
      <c r="B16" s="430" t="s">
        <v>89</v>
      </c>
      <c r="C16" s="466">
        <f>C13*C11*C9*8760</f>
        <v>11826000</v>
      </c>
      <c r="D16" s="542"/>
      <c r="E16" s="477"/>
      <c r="F16" s="478"/>
      <c r="G16" s="453" t="s">
        <v>20</v>
      </c>
      <c r="H16" s="537"/>
      <c r="I16" s="443">
        <f>SUM(I13:I15)</f>
        <v>19850150.4</v>
      </c>
      <c r="J16" s="443">
        <f aca="true" t="shared" si="4" ref="J16:AL16">SUM(J13:J15)</f>
        <v>20316996.590378396</v>
      </c>
      <c r="K16" s="443">
        <f t="shared" si="4"/>
        <v>20794860.111956555</v>
      </c>
      <c r="L16" s="443">
        <f t="shared" si="4"/>
        <v>21284001.94578094</v>
      </c>
      <c r="M16" s="443">
        <f t="shared" si="4"/>
        <v>21784689.280231602</v>
      </c>
      <c r="N16" s="443">
        <f t="shared" si="4"/>
        <v>22297195.659304902</v>
      </c>
      <c r="O16" s="443">
        <f t="shared" si="4"/>
        <v>22814343.300679818</v>
      </c>
      <c r="P16" s="443">
        <f t="shared" si="4"/>
        <v>23343495.545355354</v>
      </c>
      <c r="Q16" s="443">
        <f t="shared" si="4"/>
        <v>23884931.31583686</v>
      </c>
      <c r="R16" s="443">
        <f t="shared" si="4"/>
        <v>24438936.02183331</v>
      </c>
      <c r="S16" s="443">
        <f t="shared" si="4"/>
        <v>25005801.71130278</v>
      </c>
      <c r="T16" s="443">
        <f t="shared" si="4"/>
        <v>25585827.22501897</v>
      </c>
      <c r="U16" s="443">
        <f t="shared" si="4"/>
        <v>26179318.354741</v>
      </c>
      <c r="V16" s="443">
        <f t="shared" si="4"/>
        <v>26786588.005070515</v>
      </c>
      <c r="W16" s="443">
        <f t="shared" si="4"/>
        <v>27407956.359082334</v>
      </c>
      <c r="X16" s="443">
        <f t="shared" si="4"/>
        <v>28043751.047816467</v>
      </c>
      <c r="Y16" s="443">
        <f t="shared" si="4"/>
        <v>28694307.323721923</v>
      </c>
      <c r="Z16" s="443">
        <f t="shared" si="4"/>
        <v>29359968.23814435</v>
      </c>
      <c r="AA16" s="443">
        <f t="shared" si="4"/>
        <v>30041084.82295205</v>
      </c>
      <c r="AB16" s="443">
        <f t="shared" si="4"/>
        <v>30738016.276396878</v>
      </c>
      <c r="AC16" s="443">
        <f t="shared" si="4"/>
        <v>0</v>
      </c>
      <c r="AD16" s="443">
        <f t="shared" si="4"/>
        <v>0</v>
      </c>
      <c r="AE16" s="443">
        <f t="shared" si="4"/>
        <v>0</v>
      </c>
      <c r="AF16" s="443">
        <f t="shared" si="4"/>
        <v>0</v>
      </c>
      <c r="AG16" s="443">
        <f t="shared" si="4"/>
        <v>0</v>
      </c>
      <c r="AH16" s="443">
        <f t="shared" si="4"/>
        <v>0</v>
      </c>
      <c r="AI16" s="443">
        <f t="shared" si="4"/>
        <v>0</v>
      </c>
      <c r="AJ16" s="443">
        <f t="shared" si="4"/>
        <v>0</v>
      </c>
      <c r="AK16" s="443">
        <f t="shared" si="4"/>
        <v>0</v>
      </c>
      <c r="AL16" s="513">
        <f t="shared" si="4"/>
        <v>0</v>
      </c>
      <c r="AM16" s="478"/>
      <c r="AN16" s="477"/>
      <c r="AP16" s="555"/>
      <c r="AQ16" s="555">
        <v>9</v>
      </c>
    </row>
    <row r="17" spans="1:43" ht="15.75" thickTop="1">
      <c r="A17" s="484" t="s">
        <v>135</v>
      </c>
      <c r="B17" s="430" t="s">
        <v>89</v>
      </c>
      <c r="C17" s="466">
        <f>C15*C11*C9*8760</f>
        <v>6570000</v>
      </c>
      <c r="D17" s="432"/>
      <c r="E17" s="477"/>
      <c r="F17" s="478"/>
      <c r="G17" s="454" t="s">
        <v>4</v>
      </c>
      <c r="H17" s="449"/>
      <c r="I17" s="543"/>
      <c r="J17" s="428"/>
      <c r="K17" s="428"/>
      <c r="L17" s="428"/>
      <c r="M17" s="428"/>
      <c r="N17" s="428"/>
      <c r="O17" s="428"/>
      <c r="P17" s="428"/>
      <c r="Q17" s="428"/>
      <c r="R17" s="428"/>
      <c r="S17" s="491"/>
      <c r="T17" s="506"/>
      <c r="U17" s="491"/>
      <c r="V17" s="491"/>
      <c r="W17" s="491"/>
      <c r="X17" s="491"/>
      <c r="Y17" s="491"/>
      <c r="Z17" s="428"/>
      <c r="AA17" s="428"/>
      <c r="AB17" s="428"/>
      <c r="AC17" s="428"/>
      <c r="AD17" s="428"/>
      <c r="AE17" s="428"/>
      <c r="AF17" s="428"/>
      <c r="AG17" s="428"/>
      <c r="AH17" s="428"/>
      <c r="AI17" s="491"/>
      <c r="AJ17" s="506"/>
      <c r="AK17" s="491"/>
      <c r="AL17" s="469"/>
      <c r="AM17" s="478"/>
      <c r="AN17" s="477"/>
      <c r="AP17" s="555"/>
      <c r="AQ17" s="555">
        <v>10</v>
      </c>
    </row>
    <row r="18" spans="1:43" ht="15">
      <c r="A18" s="484" t="s">
        <v>47</v>
      </c>
      <c r="B18" s="430" t="s">
        <v>87</v>
      </c>
      <c r="C18" s="516">
        <f>'ICAP Price&amp;Impact'!O28</f>
        <v>74310</v>
      </c>
      <c r="E18" s="477"/>
      <c r="F18" s="478"/>
      <c r="G18" s="560" t="s">
        <v>5</v>
      </c>
      <c r="H18" s="539"/>
      <c r="I18" s="546">
        <f>IF(I8&gt;$C$33,0,-$C$37)</f>
        <v>-4500000</v>
      </c>
      <c r="J18" s="533">
        <f aca="true" t="shared" si="5" ref="J18:AL18">IF(J8&gt;$C$33,0,$I$18*J9)</f>
        <v>-4603500</v>
      </c>
      <c r="K18" s="533">
        <f t="shared" si="5"/>
        <v>-4709380.499999999</v>
      </c>
      <c r="L18" s="533">
        <f t="shared" si="5"/>
        <v>-4817696.251499998</v>
      </c>
      <c r="M18" s="533">
        <f t="shared" si="5"/>
        <v>-4928503.265284498</v>
      </c>
      <c r="N18" s="533">
        <f t="shared" si="5"/>
        <v>-5041858.8403860405</v>
      </c>
      <c r="O18" s="533">
        <f t="shared" si="5"/>
        <v>-5157821.59371492</v>
      </c>
      <c r="P18" s="533">
        <f t="shared" si="5"/>
        <v>-5276451.490370362</v>
      </c>
      <c r="Q18" s="533">
        <f t="shared" si="5"/>
        <v>-5397809.87464888</v>
      </c>
      <c r="R18" s="533">
        <f t="shared" si="5"/>
        <v>-5521959.501765803</v>
      </c>
      <c r="S18" s="507">
        <f t="shared" si="5"/>
        <v>-5648964.570306417</v>
      </c>
      <c r="T18" s="507">
        <f t="shared" si="5"/>
        <v>-5778890.755423464</v>
      </c>
      <c r="U18" s="507">
        <f t="shared" si="5"/>
        <v>-5911805.242798203</v>
      </c>
      <c r="V18" s="507">
        <f t="shared" si="5"/>
        <v>-6047776.763382561</v>
      </c>
      <c r="W18" s="507">
        <f t="shared" si="5"/>
        <v>-6186875.62894036</v>
      </c>
      <c r="X18" s="507">
        <f t="shared" si="5"/>
        <v>-6329173.768405986</v>
      </c>
      <c r="Y18" s="507">
        <f t="shared" si="5"/>
        <v>-6474744.765079323</v>
      </c>
      <c r="Z18" s="507">
        <f t="shared" si="5"/>
        <v>-6623663.894676147</v>
      </c>
      <c r="AA18" s="507">
        <f t="shared" si="5"/>
        <v>-6776008.164253699</v>
      </c>
      <c r="AB18" s="507">
        <f t="shared" si="5"/>
        <v>-6931856.352031532</v>
      </c>
      <c r="AC18" s="507">
        <f t="shared" si="5"/>
        <v>0</v>
      </c>
      <c r="AD18" s="507">
        <f t="shared" si="5"/>
        <v>0</v>
      </c>
      <c r="AE18" s="507">
        <f t="shared" si="5"/>
        <v>0</v>
      </c>
      <c r="AF18" s="507">
        <f t="shared" si="5"/>
        <v>0</v>
      </c>
      <c r="AG18" s="507">
        <f t="shared" si="5"/>
        <v>0</v>
      </c>
      <c r="AH18" s="507">
        <f t="shared" si="5"/>
        <v>0</v>
      </c>
      <c r="AI18" s="507">
        <f t="shared" si="5"/>
        <v>0</v>
      </c>
      <c r="AJ18" s="507">
        <f t="shared" si="5"/>
        <v>0</v>
      </c>
      <c r="AK18" s="507">
        <f t="shared" si="5"/>
        <v>0</v>
      </c>
      <c r="AL18" s="468">
        <f t="shared" si="5"/>
        <v>0</v>
      </c>
      <c r="AM18" s="478"/>
      <c r="AN18" s="477"/>
      <c r="AQ18" s="555">
        <v>11</v>
      </c>
    </row>
    <row r="19" spans="1:43" ht="15">
      <c r="A19" s="484" t="s">
        <v>102</v>
      </c>
      <c r="B19" s="540" t="s">
        <v>65</v>
      </c>
      <c r="C19" s="467">
        <v>1</v>
      </c>
      <c r="D19" s="432"/>
      <c r="E19" s="477"/>
      <c r="F19" s="478"/>
      <c r="G19" s="560" t="s">
        <v>6</v>
      </c>
      <c r="H19" s="539"/>
      <c r="I19" s="544">
        <f>IF(I8&gt;$C$33,0,-$C$38)</f>
        <v>0</v>
      </c>
      <c r="J19" s="450">
        <f aca="true" t="shared" si="6" ref="J19:AL19">IF(J8&gt;$C$33,0,$I$19*J9)</f>
        <v>0</v>
      </c>
      <c r="K19" s="450">
        <f t="shared" si="6"/>
        <v>0</v>
      </c>
      <c r="L19" s="450">
        <f t="shared" si="6"/>
        <v>0</v>
      </c>
      <c r="M19" s="450">
        <f t="shared" si="6"/>
        <v>0</v>
      </c>
      <c r="N19" s="450">
        <f t="shared" si="6"/>
        <v>0</v>
      </c>
      <c r="O19" s="450">
        <f t="shared" si="6"/>
        <v>0</v>
      </c>
      <c r="P19" s="450">
        <f t="shared" si="6"/>
        <v>0</v>
      </c>
      <c r="Q19" s="450">
        <f t="shared" si="6"/>
        <v>0</v>
      </c>
      <c r="R19" s="450">
        <f t="shared" si="6"/>
        <v>0</v>
      </c>
      <c r="S19" s="517">
        <f t="shared" si="6"/>
        <v>0</v>
      </c>
      <c r="T19" s="517">
        <f t="shared" si="6"/>
        <v>0</v>
      </c>
      <c r="U19" s="517">
        <f t="shared" si="6"/>
        <v>0</v>
      </c>
      <c r="V19" s="517">
        <f t="shared" si="6"/>
        <v>0</v>
      </c>
      <c r="W19" s="517">
        <f t="shared" si="6"/>
        <v>0</v>
      </c>
      <c r="X19" s="517">
        <f t="shared" si="6"/>
        <v>0</v>
      </c>
      <c r="Y19" s="517">
        <f t="shared" si="6"/>
        <v>0</v>
      </c>
      <c r="Z19" s="517">
        <f t="shared" si="6"/>
        <v>0</v>
      </c>
      <c r="AA19" s="517">
        <f t="shared" si="6"/>
        <v>0</v>
      </c>
      <c r="AB19" s="517">
        <f t="shared" si="6"/>
        <v>0</v>
      </c>
      <c r="AC19" s="517">
        <f t="shared" si="6"/>
        <v>0</v>
      </c>
      <c r="AD19" s="517">
        <f t="shared" si="6"/>
        <v>0</v>
      </c>
      <c r="AE19" s="517">
        <f t="shared" si="6"/>
        <v>0</v>
      </c>
      <c r="AF19" s="517">
        <f t="shared" si="6"/>
        <v>0</v>
      </c>
      <c r="AG19" s="517">
        <f t="shared" si="6"/>
        <v>0</v>
      </c>
      <c r="AH19" s="517">
        <f t="shared" si="6"/>
        <v>0</v>
      </c>
      <c r="AI19" s="517">
        <f t="shared" si="6"/>
        <v>0</v>
      </c>
      <c r="AJ19" s="517">
        <f t="shared" si="6"/>
        <v>0</v>
      </c>
      <c r="AK19" s="517">
        <f t="shared" si="6"/>
        <v>0</v>
      </c>
      <c r="AL19" s="468">
        <f t="shared" si="6"/>
        <v>0</v>
      </c>
      <c r="AM19" s="478"/>
      <c r="AN19" s="477"/>
      <c r="AQ19" s="555">
        <v>12</v>
      </c>
    </row>
    <row r="20" spans="1:43" ht="15">
      <c r="A20" s="484" t="s">
        <v>103</v>
      </c>
      <c r="B20" s="540" t="s">
        <v>65</v>
      </c>
      <c r="C20" s="467">
        <v>1</v>
      </c>
      <c r="D20" s="432"/>
      <c r="E20" s="477"/>
      <c r="F20" s="478"/>
      <c r="G20" s="560" t="s">
        <v>7</v>
      </c>
      <c r="H20" s="539"/>
      <c r="I20" s="544">
        <f aca="true" t="shared" si="7" ref="I20:AL20">IF(I8&gt;$C$33,0,-$C$39)</f>
        <v>0</v>
      </c>
      <c r="J20" s="544">
        <f t="shared" si="7"/>
        <v>0</v>
      </c>
      <c r="K20" s="544">
        <f t="shared" si="7"/>
        <v>0</v>
      </c>
      <c r="L20" s="544">
        <f t="shared" si="7"/>
        <v>0</v>
      </c>
      <c r="M20" s="544">
        <f t="shared" si="7"/>
        <v>0</v>
      </c>
      <c r="N20" s="544">
        <f t="shared" si="7"/>
        <v>0</v>
      </c>
      <c r="O20" s="544">
        <f t="shared" si="7"/>
        <v>0</v>
      </c>
      <c r="P20" s="544">
        <f t="shared" si="7"/>
        <v>0</v>
      </c>
      <c r="Q20" s="544">
        <f t="shared" si="7"/>
        <v>0</v>
      </c>
      <c r="R20" s="544">
        <f t="shared" si="7"/>
        <v>0</v>
      </c>
      <c r="S20" s="499">
        <f t="shared" si="7"/>
        <v>0</v>
      </c>
      <c r="T20" s="499">
        <f t="shared" si="7"/>
        <v>0</v>
      </c>
      <c r="U20" s="499">
        <f t="shared" si="7"/>
        <v>0</v>
      </c>
      <c r="V20" s="499">
        <f t="shared" si="7"/>
        <v>0</v>
      </c>
      <c r="W20" s="499">
        <f t="shared" si="7"/>
        <v>0</v>
      </c>
      <c r="X20" s="499">
        <f t="shared" si="7"/>
        <v>0</v>
      </c>
      <c r="Y20" s="499">
        <f t="shared" si="7"/>
        <v>0</v>
      </c>
      <c r="Z20" s="544">
        <f t="shared" si="7"/>
        <v>0</v>
      </c>
      <c r="AA20" s="544">
        <f t="shared" si="7"/>
        <v>0</v>
      </c>
      <c r="AB20" s="544">
        <f t="shared" si="7"/>
        <v>0</v>
      </c>
      <c r="AC20" s="544">
        <f t="shared" si="7"/>
        <v>0</v>
      </c>
      <c r="AD20" s="544">
        <f t="shared" si="7"/>
        <v>0</v>
      </c>
      <c r="AE20" s="544">
        <f t="shared" si="7"/>
        <v>0</v>
      </c>
      <c r="AF20" s="544">
        <f t="shared" si="7"/>
        <v>0</v>
      </c>
      <c r="AG20" s="544">
        <f t="shared" si="7"/>
        <v>0</v>
      </c>
      <c r="AH20" s="544">
        <f t="shared" si="7"/>
        <v>0</v>
      </c>
      <c r="AI20" s="499">
        <f t="shared" si="7"/>
        <v>0</v>
      </c>
      <c r="AJ20" s="499">
        <f t="shared" si="7"/>
        <v>0</v>
      </c>
      <c r="AK20" s="499">
        <f t="shared" si="7"/>
        <v>0</v>
      </c>
      <c r="AL20" s="468">
        <f t="shared" si="7"/>
        <v>0</v>
      </c>
      <c r="AM20" s="478"/>
      <c r="AN20" s="477"/>
      <c r="AQ20" s="555">
        <v>13</v>
      </c>
    </row>
    <row r="21" spans="1:43" ht="15">
      <c r="A21" s="480" t="s">
        <v>78</v>
      </c>
      <c r="B21" s="488"/>
      <c r="C21" s="552">
        <f>-C19*'ICAP Price&amp;Impact'!P38-C20*'ICAP Price&amp;Impact'!P19</f>
        <v>81824368.18000007</v>
      </c>
      <c r="D21" s="432"/>
      <c r="E21" s="477"/>
      <c r="F21" s="478"/>
      <c r="G21" s="560" t="s">
        <v>152</v>
      </c>
      <c r="H21" s="539"/>
      <c r="I21" s="544">
        <f>IF(I8&gt;$C$33,0,-$C$40)</f>
        <v>0</v>
      </c>
      <c r="J21" s="544">
        <f aca="true" t="shared" si="8" ref="J21:AL21">IF(J8&gt;$C$33,0,-$C$40)</f>
        <v>0</v>
      </c>
      <c r="K21" s="544">
        <f t="shared" si="8"/>
        <v>0</v>
      </c>
      <c r="L21" s="544">
        <f t="shared" si="8"/>
        <v>0</v>
      </c>
      <c r="M21" s="544">
        <f t="shared" si="8"/>
        <v>0</v>
      </c>
      <c r="N21" s="544">
        <f t="shared" si="8"/>
        <v>0</v>
      </c>
      <c r="O21" s="544">
        <f t="shared" si="8"/>
        <v>0</v>
      </c>
      <c r="P21" s="544">
        <f t="shared" si="8"/>
        <v>0</v>
      </c>
      <c r="Q21" s="544">
        <f t="shared" si="8"/>
        <v>0</v>
      </c>
      <c r="R21" s="544">
        <f t="shared" si="8"/>
        <v>0</v>
      </c>
      <c r="S21" s="499">
        <f t="shared" si="8"/>
        <v>0</v>
      </c>
      <c r="T21" s="499">
        <f t="shared" si="8"/>
        <v>0</v>
      </c>
      <c r="U21" s="499">
        <f t="shared" si="8"/>
        <v>0</v>
      </c>
      <c r="V21" s="499">
        <f t="shared" si="8"/>
        <v>0</v>
      </c>
      <c r="W21" s="499">
        <f t="shared" si="8"/>
        <v>0</v>
      </c>
      <c r="X21" s="499">
        <f t="shared" si="8"/>
        <v>0</v>
      </c>
      <c r="Y21" s="499">
        <f t="shared" si="8"/>
        <v>0</v>
      </c>
      <c r="Z21" s="544">
        <f t="shared" si="8"/>
        <v>0</v>
      </c>
      <c r="AA21" s="544">
        <f t="shared" si="8"/>
        <v>0</v>
      </c>
      <c r="AB21" s="544">
        <f t="shared" si="8"/>
        <v>0</v>
      </c>
      <c r="AC21" s="544">
        <f t="shared" si="8"/>
        <v>0</v>
      </c>
      <c r="AD21" s="544">
        <f t="shared" si="8"/>
        <v>0</v>
      </c>
      <c r="AE21" s="544">
        <f t="shared" si="8"/>
        <v>0</v>
      </c>
      <c r="AF21" s="544">
        <f t="shared" si="8"/>
        <v>0</v>
      </c>
      <c r="AG21" s="544">
        <f t="shared" si="8"/>
        <v>0</v>
      </c>
      <c r="AH21" s="544">
        <f t="shared" si="8"/>
        <v>0</v>
      </c>
      <c r="AI21" s="499">
        <f t="shared" si="8"/>
        <v>0</v>
      </c>
      <c r="AJ21" s="499">
        <f t="shared" si="8"/>
        <v>0</v>
      </c>
      <c r="AK21" s="499">
        <f t="shared" si="8"/>
        <v>0</v>
      </c>
      <c r="AL21" s="468">
        <f t="shared" si="8"/>
        <v>0</v>
      </c>
      <c r="AM21" s="478"/>
      <c r="AN21" s="477"/>
      <c r="AQ21" s="555">
        <v>14</v>
      </c>
    </row>
    <row r="22" spans="1:43" ht="15.75" thickBot="1">
      <c r="A22" s="484" t="s">
        <v>76</v>
      </c>
      <c r="B22" s="553" t="s">
        <v>88</v>
      </c>
      <c r="C22" s="473">
        <v>5</v>
      </c>
      <c r="D22" s="433"/>
      <c r="E22" s="477"/>
      <c r="F22" s="478"/>
      <c r="G22" s="455" t="s">
        <v>21</v>
      </c>
      <c r="H22" s="536"/>
      <c r="I22" s="445">
        <f>SUM(I18:I21)</f>
        <v>-4500000</v>
      </c>
      <c r="J22" s="446">
        <f aca="true" t="shared" si="9" ref="J22:AL22">SUM(J18:J21)</f>
        <v>-4603500</v>
      </c>
      <c r="K22" s="446">
        <f t="shared" si="9"/>
        <v>-4709380.499999999</v>
      </c>
      <c r="L22" s="446">
        <f t="shared" si="9"/>
        <v>-4817696.251499998</v>
      </c>
      <c r="M22" s="446">
        <f t="shared" si="9"/>
        <v>-4928503.265284498</v>
      </c>
      <c r="N22" s="446">
        <f t="shared" si="9"/>
        <v>-5041858.8403860405</v>
      </c>
      <c r="O22" s="446">
        <f t="shared" si="9"/>
        <v>-5157821.59371492</v>
      </c>
      <c r="P22" s="446">
        <f t="shared" si="9"/>
        <v>-5276451.490370362</v>
      </c>
      <c r="Q22" s="446">
        <f t="shared" si="9"/>
        <v>-5397809.87464888</v>
      </c>
      <c r="R22" s="446">
        <f t="shared" si="9"/>
        <v>-5521959.501765803</v>
      </c>
      <c r="S22" s="494">
        <f t="shared" si="9"/>
        <v>-5648964.570306417</v>
      </c>
      <c r="T22" s="494">
        <f t="shared" si="9"/>
        <v>-5778890.755423464</v>
      </c>
      <c r="U22" s="494">
        <f t="shared" si="9"/>
        <v>-5911805.242798203</v>
      </c>
      <c r="V22" s="494">
        <f t="shared" si="9"/>
        <v>-6047776.763382561</v>
      </c>
      <c r="W22" s="494">
        <f t="shared" si="9"/>
        <v>-6186875.62894036</v>
      </c>
      <c r="X22" s="494">
        <f t="shared" si="9"/>
        <v>-6329173.768405986</v>
      </c>
      <c r="Y22" s="494">
        <f t="shared" si="9"/>
        <v>-6474744.765079323</v>
      </c>
      <c r="Z22" s="446">
        <f t="shared" si="9"/>
        <v>-6623663.894676147</v>
      </c>
      <c r="AA22" s="446">
        <f t="shared" si="9"/>
        <v>-6776008.164253699</v>
      </c>
      <c r="AB22" s="446">
        <f t="shared" si="9"/>
        <v>-6931856.352031532</v>
      </c>
      <c r="AC22" s="446">
        <f t="shared" si="9"/>
        <v>0</v>
      </c>
      <c r="AD22" s="446">
        <f t="shared" si="9"/>
        <v>0</v>
      </c>
      <c r="AE22" s="446">
        <f t="shared" si="9"/>
        <v>0</v>
      </c>
      <c r="AF22" s="446">
        <f t="shared" si="9"/>
        <v>0</v>
      </c>
      <c r="AG22" s="446">
        <f t="shared" si="9"/>
        <v>0</v>
      </c>
      <c r="AH22" s="446">
        <f t="shared" si="9"/>
        <v>0</v>
      </c>
      <c r="AI22" s="494">
        <f t="shared" si="9"/>
        <v>0</v>
      </c>
      <c r="AJ22" s="494">
        <f t="shared" si="9"/>
        <v>0</v>
      </c>
      <c r="AK22" s="494">
        <f t="shared" si="9"/>
        <v>0</v>
      </c>
      <c r="AL22" s="470">
        <f t="shared" si="9"/>
        <v>0</v>
      </c>
      <c r="AM22" s="478"/>
      <c r="AN22" s="477"/>
      <c r="AQ22" s="555">
        <v>15</v>
      </c>
    </row>
    <row r="23" spans="1:43" ht="15.75" thickTop="1">
      <c r="A23" s="480" t="s">
        <v>48</v>
      </c>
      <c r="B23" s="430"/>
      <c r="C23" s="474">
        <v>1</v>
      </c>
      <c r="D23" s="433"/>
      <c r="E23" s="477"/>
      <c r="F23" s="478"/>
      <c r="G23" s="456"/>
      <c r="H23" s="428"/>
      <c r="I23" s="543"/>
      <c r="J23" s="428"/>
      <c r="K23" s="428"/>
      <c r="L23" s="428"/>
      <c r="M23" s="428"/>
      <c r="N23" s="428"/>
      <c r="O23" s="428"/>
      <c r="P23" s="428"/>
      <c r="Q23" s="428"/>
      <c r="R23" s="428"/>
      <c r="S23" s="491"/>
      <c r="T23" s="491"/>
      <c r="U23" s="491"/>
      <c r="V23" s="491"/>
      <c r="W23" s="491"/>
      <c r="X23" s="491"/>
      <c r="Y23" s="491"/>
      <c r="Z23" s="428"/>
      <c r="AA23" s="428"/>
      <c r="AB23" s="428"/>
      <c r="AC23" s="428"/>
      <c r="AD23" s="428"/>
      <c r="AE23" s="428"/>
      <c r="AF23" s="428"/>
      <c r="AG23" s="428"/>
      <c r="AH23" s="428"/>
      <c r="AI23" s="491"/>
      <c r="AJ23" s="491"/>
      <c r="AK23" s="491"/>
      <c r="AL23" s="469"/>
      <c r="AM23" s="478"/>
      <c r="AN23" s="477"/>
      <c r="AQ23" s="555">
        <v>16</v>
      </c>
    </row>
    <row r="24" spans="1:43" ht="15">
      <c r="A24" s="484" t="s">
        <v>132</v>
      </c>
      <c r="B24" s="540"/>
      <c r="C24" s="251" t="s">
        <v>133</v>
      </c>
      <c r="D24" s="433"/>
      <c r="E24" s="477"/>
      <c r="F24" s="478"/>
      <c r="G24" s="560" t="s">
        <v>22</v>
      </c>
      <c r="H24" s="539"/>
      <c r="I24" s="546">
        <f aca="true" t="shared" si="10" ref="I24:AL24">I16+I22</f>
        <v>15350150.399999999</v>
      </c>
      <c r="J24" s="533">
        <f t="shared" si="10"/>
        <v>15713496.590378396</v>
      </c>
      <c r="K24" s="533">
        <f t="shared" si="10"/>
        <v>16085479.611956555</v>
      </c>
      <c r="L24" s="533">
        <f t="shared" si="10"/>
        <v>16466305.694280941</v>
      </c>
      <c r="M24" s="533">
        <f t="shared" si="10"/>
        <v>16856186.014947105</v>
      </c>
      <c r="N24" s="533">
        <f t="shared" si="10"/>
        <v>17255336.81891886</v>
      </c>
      <c r="O24" s="533">
        <f t="shared" si="10"/>
        <v>17656521.7069649</v>
      </c>
      <c r="P24" s="533">
        <f t="shared" si="10"/>
        <v>18067044.05498499</v>
      </c>
      <c r="Q24" s="533">
        <f t="shared" si="10"/>
        <v>18487121.44118798</v>
      </c>
      <c r="R24" s="533">
        <f t="shared" si="10"/>
        <v>18916976.52006751</v>
      </c>
      <c r="S24" s="507">
        <f t="shared" si="10"/>
        <v>19356837.140996363</v>
      </c>
      <c r="T24" s="533">
        <f t="shared" si="10"/>
        <v>19806936.469595507</v>
      </c>
      <c r="U24" s="533">
        <f t="shared" si="10"/>
        <v>20267513.111942798</v>
      </c>
      <c r="V24" s="533">
        <f t="shared" si="10"/>
        <v>20738811.241687953</v>
      </c>
      <c r="W24" s="533">
        <f t="shared" si="10"/>
        <v>21221080.730141975</v>
      </c>
      <c r="X24" s="533">
        <f t="shared" si="10"/>
        <v>21714577.27941048</v>
      </c>
      <c r="Y24" s="533">
        <f t="shared" si="10"/>
        <v>22219562.5586426</v>
      </c>
      <c r="Z24" s="533">
        <f t="shared" si="10"/>
        <v>22736304.343468204</v>
      </c>
      <c r="AA24" s="533">
        <f t="shared" si="10"/>
        <v>23265076.65869835</v>
      </c>
      <c r="AB24" s="533">
        <f t="shared" si="10"/>
        <v>23806159.924365345</v>
      </c>
      <c r="AC24" s="533">
        <f t="shared" si="10"/>
        <v>0</v>
      </c>
      <c r="AD24" s="533">
        <f t="shared" si="10"/>
        <v>0</v>
      </c>
      <c r="AE24" s="533">
        <f t="shared" si="10"/>
        <v>0</v>
      </c>
      <c r="AF24" s="533">
        <f t="shared" si="10"/>
        <v>0</v>
      </c>
      <c r="AG24" s="533">
        <f t="shared" si="10"/>
        <v>0</v>
      </c>
      <c r="AH24" s="533">
        <f t="shared" si="10"/>
        <v>0</v>
      </c>
      <c r="AI24" s="507">
        <f t="shared" si="10"/>
        <v>0</v>
      </c>
      <c r="AJ24" s="533">
        <f t="shared" si="10"/>
        <v>0</v>
      </c>
      <c r="AK24" s="533">
        <f t="shared" si="10"/>
        <v>0</v>
      </c>
      <c r="AL24" s="515">
        <f t="shared" si="10"/>
        <v>0</v>
      </c>
      <c r="AM24" s="478"/>
      <c r="AN24" s="477"/>
      <c r="AQ24" s="555">
        <v>17</v>
      </c>
    </row>
    <row r="25" spans="1:43" ht="15">
      <c r="A25" s="505" t="s">
        <v>8</v>
      </c>
      <c r="B25" s="518"/>
      <c r="C25" s="493"/>
      <c r="D25" s="433"/>
      <c r="E25" s="477"/>
      <c r="F25" s="478"/>
      <c r="G25" s="560" t="s">
        <v>23</v>
      </c>
      <c r="H25" s="539"/>
      <c r="I25" s="544">
        <f>I51</f>
        <v>-6041250</v>
      </c>
      <c r="J25" s="427">
        <f aca="true" t="shared" si="11" ref="J25:AL25">J51</f>
        <v>-5865575.80086791</v>
      </c>
      <c r="K25" s="427">
        <f t="shared" si="11"/>
        <v>-5680467.897242426</v>
      </c>
      <c r="L25" s="427">
        <f t="shared" si="11"/>
        <v>-5485419.699192254</v>
      </c>
      <c r="M25" s="427">
        <f t="shared" si="11"/>
        <v>-5279897.412906788</v>
      </c>
      <c r="N25" s="427">
        <f t="shared" si="11"/>
        <v>-5063338.579847793</v>
      </c>
      <c r="O25" s="427">
        <f t="shared" si="11"/>
        <v>-4835150.537453529</v>
      </c>
      <c r="P25" s="427">
        <f t="shared" si="11"/>
        <v>-4594708.797182693</v>
      </c>
      <c r="Q25" s="427">
        <f t="shared" si="11"/>
        <v>-4341355.335459314</v>
      </c>
      <c r="R25" s="427">
        <f t="shared" si="11"/>
        <v>-4074396.7928413893</v>
      </c>
      <c r="S25" s="490">
        <f t="shared" si="11"/>
        <v>-3793102.5764848813</v>
      </c>
      <c r="T25" s="427">
        <f t="shared" si="11"/>
        <v>-3496702.8607100295</v>
      </c>
      <c r="U25" s="427">
        <f t="shared" si="11"/>
        <v>-3184386.4801980676</v>
      </c>
      <c r="V25" s="427">
        <f t="shared" si="11"/>
        <v>-2855298.7100526136</v>
      </c>
      <c r="W25" s="427">
        <f t="shared" si="11"/>
        <v>-2508538.926650349</v>
      </c>
      <c r="X25" s="427">
        <f t="shared" si="11"/>
        <v>-2143158.1428793827</v>
      </c>
      <c r="Y25" s="427">
        <f t="shared" si="11"/>
        <v>-1758156.4110199155</v>
      </c>
      <c r="Z25" s="427">
        <f t="shared" si="11"/>
        <v>-1352480.0861595946</v>
      </c>
      <c r="AA25" s="427">
        <f t="shared" si="11"/>
        <v>-925018.9426542745</v>
      </c>
      <c r="AB25" s="427">
        <f t="shared" si="11"/>
        <v>-474603.13574271894</v>
      </c>
      <c r="AC25" s="427">
        <f t="shared" si="11"/>
        <v>0</v>
      </c>
      <c r="AD25" s="427">
        <f t="shared" si="11"/>
        <v>0</v>
      </c>
      <c r="AE25" s="427">
        <f t="shared" si="11"/>
        <v>0</v>
      </c>
      <c r="AF25" s="427">
        <f t="shared" si="11"/>
        <v>0</v>
      </c>
      <c r="AG25" s="427">
        <f t="shared" si="11"/>
        <v>0</v>
      </c>
      <c r="AH25" s="427">
        <f t="shared" si="11"/>
        <v>0</v>
      </c>
      <c r="AI25" s="490">
        <f t="shared" si="11"/>
        <v>0</v>
      </c>
      <c r="AJ25" s="427">
        <f t="shared" si="11"/>
        <v>0</v>
      </c>
      <c r="AK25" s="427">
        <f t="shared" si="11"/>
        <v>0</v>
      </c>
      <c r="AL25" s="504">
        <f t="shared" si="11"/>
        <v>0</v>
      </c>
      <c r="AM25" s="478"/>
      <c r="AN25" s="477"/>
      <c r="AQ25" s="555">
        <v>18</v>
      </c>
    </row>
    <row r="26" spans="1:43" ht="15">
      <c r="A26" s="484" t="s">
        <v>9</v>
      </c>
      <c r="B26" s="488"/>
      <c r="C26" s="575">
        <v>0.5</v>
      </c>
      <c r="D26" s="434"/>
      <c r="E26" s="477"/>
      <c r="F26" s="478"/>
      <c r="G26" s="561" t="s">
        <v>24</v>
      </c>
      <c r="H26" s="538"/>
      <c r="I26" s="544">
        <f>I46</f>
        <v>-45000000</v>
      </c>
      <c r="J26" s="427">
        <f>J46</f>
        <v>-72000000</v>
      </c>
      <c r="K26" s="427">
        <f aca="true" t="shared" si="12" ref="K26:AL26">K46</f>
        <v>-43200000</v>
      </c>
      <c r="L26" s="427">
        <f t="shared" si="12"/>
        <v>-25920000</v>
      </c>
      <c r="M26" s="427">
        <f t="shared" si="12"/>
        <v>-25920000</v>
      </c>
      <c r="N26" s="427">
        <f t="shared" si="12"/>
        <v>-12960000</v>
      </c>
      <c r="O26" s="427">
        <f t="shared" si="12"/>
        <v>0</v>
      </c>
      <c r="P26" s="427">
        <f t="shared" si="12"/>
        <v>0</v>
      </c>
      <c r="Q26" s="427">
        <f t="shared" si="12"/>
        <v>0</v>
      </c>
      <c r="R26" s="427">
        <f t="shared" si="12"/>
        <v>0</v>
      </c>
      <c r="S26" s="490">
        <f t="shared" si="12"/>
        <v>0</v>
      </c>
      <c r="T26" s="427">
        <f t="shared" si="12"/>
        <v>0</v>
      </c>
      <c r="U26" s="427">
        <f t="shared" si="12"/>
        <v>0</v>
      </c>
      <c r="V26" s="427">
        <f t="shared" si="12"/>
        <v>0</v>
      </c>
      <c r="W26" s="427">
        <f t="shared" si="12"/>
        <v>0</v>
      </c>
      <c r="X26" s="427">
        <f t="shared" si="12"/>
        <v>0</v>
      </c>
      <c r="Y26" s="427">
        <f t="shared" si="12"/>
        <v>0</v>
      </c>
      <c r="Z26" s="427">
        <f t="shared" si="12"/>
        <v>0</v>
      </c>
      <c r="AA26" s="427">
        <f t="shared" si="12"/>
        <v>0</v>
      </c>
      <c r="AB26" s="427">
        <f t="shared" si="12"/>
        <v>0</v>
      </c>
      <c r="AC26" s="427">
        <f t="shared" si="12"/>
        <v>0</v>
      </c>
      <c r="AD26" s="427">
        <f t="shared" si="12"/>
        <v>0</v>
      </c>
      <c r="AE26" s="427">
        <f t="shared" si="12"/>
        <v>0</v>
      </c>
      <c r="AF26" s="427">
        <f t="shared" si="12"/>
        <v>0</v>
      </c>
      <c r="AG26" s="427">
        <f t="shared" si="12"/>
        <v>0</v>
      </c>
      <c r="AH26" s="427">
        <f t="shared" si="12"/>
        <v>0</v>
      </c>
      <c r="AI26" s="490">
        <f t="shared" si="12"/>
        <v>0</v>
      </c>
      <c r="AJ26" s="427">
        <f t="shared" si="12"/>
        <v>0</v>
      </c>
      <c r="AK26" s="427">
        <f t="shared" si="12"/>
        <v>0</v>
      </c>
      <c r="AL26" s="504">
        <f t="shared" si="12"/>
        <v>0</v>
      </c>
      <c r="AM26" s="478"/>
      <c r="AN26" s="477"/>
      <c r="AQ26" s="555">
        <v>19</v>
      </c>
    </row>
    <row r="27" spans="1:43" ht="15.75" thickBot="1">
      <c r="A27" s="480" t="s">
        <v>10</v>
      </c>
      <c r="B27" s="541"/>
      <c r="C27" s="476">
        <f>1-C26</f>
        <v>0.5</v>
      </c>
      <c r="E27" s="477"/>
      <c r="F27" s="478"/>
      <c r="G27" s="453" t="s">
        <v>25</v>
      </c>
      <c r="H27" s="537"/>
      <c r="I27" s="443">
        <f>SUM(I24:I26)</f>
        <v>-35691099.6</v>
      </c>
      <c r="J27" s="444">
        <f aca="true" t="shared" si="13" ref="J27:R27">SUM(J24:J26)</f>
        <v>-62152079.21048951</v>
      </c>
      <c r="K27" s="444">
        <f t="shared" si="13"/>
        <v>-32794988.28528587</v>
      </c>
      <c r="L27" s="444">
        <f t="shared" si="13"/>
        <v>-14939114.004911313</v>
      </c>
      <c r="M27" s="444">
        <f t="shared" si="13"/>
        <v>-14343711.397959683</v>
      </c>
      <c r="N27" s="444">
        <f t="shared" si="13"/>
        <v>-768001.7609289326</v>
      </c>
      <c r="O27" s="444">
        <f t="shared" si="13"/>
        <v>12821371.16951137</v>
      </c>
      <c r="P27" s="444">
        <f t="shared" si="13"/>
        <v>13472335.257802296</v>
      </c>
      <c r="Q27" s="444">
        <f t="shared" si="13"/>
        <v>14145766.105728667</v>
      </c>
      <c r="R27" s="444">
        <f t="shared" si="13"/>
        <v>14842579.72722612</v>
      </c>
      <c r="S27" s="498">
        <f>SUM(S24:S26)</f>
        <v>15563734.564511482</v>
      </c>
      <c r="T27" s="444">
        <f>SUM(T24:T26)</f>
        <v>16310233.608885478</v>
      </c>
      <c r="U27" s="444">
        <f>SUM(U24:U26)</f>
        <v>17083126.63174473</v>
      </c>
      <c r="V27" s="444">
        <f>SUM(V24:V26)</f>
        <v>17883512.53163534</v>
      </c>
      <c r="W27" s="444">
        <f>SUM(W24:W26)</f>
        <v>18712541.803491626</v>
      </c>
      <c r="X27" s="444">
        <f>SUM(X24:X26)</f>
        <v>19571419.1365311</v>
      </c>
      <c r="Y27" s="444">
        <f>SUM(Y24:Y26)</f>
        <v>20461406.147622686</v>
      </c>
      <c r="Z27" s="444">
        <f aca="true" t="shared" si="14" ref="Z27:AH27">SUM(Z24:Z26)</f>
        <v>21383824.25730861</v>
      </c>
      <c r="AA27" s="444">
        <f t="shared" si="14"/>
        <v>22340057.716044076</v>
      </c>
      <c r="AB27" s="444">
        <f t="shared" si="14"/>
        <v>23331556.788622625</v>
      </c>
      <c r="AC27" s="444">
        <f t="shared" si="14"/>
        <v>0</v>
      </c>
      <c r="AD27" s="444">
        <f t="shared" si="14"/>
        <v>0</v>
      </c>
      <c r="AE27" s="444">
        <f t="shared" si="14"/>
        <v>0</v>
      </c>
      <c r="AF27" s="444">
        <f t="shared" si="14"/>
        <v>0</v>
      </c>
      <c r="AG27" s="444">
        <f t="shared" si="14"/>
        <v>0</v>
      </c>
      <c r="AH27" s="444">
        <f t="shared" si="14"/>
        <v>0</v>
      </c>
      <c r="AI27" s="498">
        <f>SUM(AI24:AI26)</f>
        <v>0</v>
      </c>
      <c r="AJ27" s="444">
        <f>SUM(AJ24:AJ26)</f>
        <v>0</v>
      </c>
      <c r="AK27" s="444">
        <f>SUM(AK24:AK26)</f>
        <v>0</v>
      </c>
      <c r="AL27" s="512">
        <f>SUM(AL24:AL26)</f>
        <v>0</v>
      </c>
      <c r="AM27" s="478"/>
      <c r="AN27" s="477"/>
      <c r="AQ27" s="555">
        <v>20</v>
      </c>
    </row>
    <row r="28" spans="1:43" ht="15.75" thickTop="1">
      <c r="A28" s="484" t="s">
        <v>11</v>
      </c>
      <c r="B28" s="488"/>
      <c r="C28" s="603">
        <v>0.0537</v>
      </c>
      <c r="D28" s="542"/>
      <c r="E28" s="477"/>
      <c r="F28" s="478"/>
      <c r="G28" s="456"/>
      <c r="H28" s="428"/>
      <c r="I28" s="543"/>
      <c r="J28" s="428"/>
      <c r="K28" s="428"/>
      <c r="L28" s="428"/>
      <c r="M28" s="428"/>
      <c r="N28" s="428"/>
      <c r="O28" s="428"/>
      <c r="P28" s="428"/>
      <c r="Q28" s="428"/>
      <c r="R28" s="428"/>
      <c r="S28" s="491"/>
      <c r="T28" s="428"/>
      <c r="U28" s="428"/>
      <c r="V28" s="428"/>
      <c r="W28" s="491"/>
      <c r="X28" s="491"/>
      <c r="Y28" s="491"/>
      <c r="Z28" s="428"/>
      <c r="AA28" s="428"/>
      <c r="AB28" s="428"/>
      <c r="AC28" s="428"/>
      <c r="AD28" s="428"/>
      <c r="AE28" s="428"/>
      <c r="AF28" s="428"/>
      <c r="AG28" s="428"/>
      <c r="AH28" s="428"/>
      <c r="AI28" s="491"/>
      <c r="AJ28" s="428"/>
      <c r="AK28" s="428"/>
      <c r="AL28" s="471"/>
      <c r="AM28" s="478"/>
      <c r="AN28" s="477"/>
      <c r="AQ28" s="555">
        <v>21</v>
      </c>
    </row>
    <row r="29" spans="1:43" ht="15">
      <c r="A29" s="484" t="s">
        <v>12</v>
      </c>
      <c r="B29" s="488"/>
      <c r="C29" s="603">
        <v>0.0893</v>
      </c>
      <c r="D29" s="542"/>
      <c r="E29" s="477"/>
      <c r="F29" s="478"/>
      <c r="G29" s="562" t="s">
        <v>136</v>
      </c>
      <c r="H29" s="428"/>
      <c r="I29" s="544">
        <f aca="true" t="shared" si="15" ref="I29:AL29">MAX(0,IF(I$8&gt;$C$32,0,$C$14*$C$11*$C$9*8760))</f>
        <v>6044400</v>
      </c>
      <c r="J29" s="544">
        <f t="shared" si="15"/>
        <v>6044400</v>
      </c>
      <c r="K29" s="544">
        <f t="shared" si="15"/>
        <v>6044400</v>
      </c>
      <c r="L29" s="544">
        <f t="shared" si="15"/>
        <v>6044400</v>
      </c>
      <c r="M29" s="544">
        <f t="shared" si="15"/>
        <v>6044400</v>
      </c>
      <c r="N29" s="544">
        <f t="shared" si="15"/>
        <v>6044400</v>
      </c>
      <c r="O29" s="544">
        <f t="shared" si="15"/>
        <v>6044400</v>
      </c>
      <c r="P29" s="544">
        <f t="shared" si="15"/>
        <v>6044400</v>
      </c>
      <c r="Q29" s="544">
        <f t="shared" si="15"/>
        <v>6044400</v>
      </c>
      <c r="R29" s="544">
        <f t="shared" si="15"/>
        <v>6044400</v>
      </c>
      <c r="S29" s="544">
        <f t="shared" si="15"/>
        <v>0</v>
      </c>
      <c r="T29" s="544">
        <f t="shared" si="15"/>
        <v>0</v>
      </c>
      <c r="U29" s="544">
        <f t="shared" si="15"/>
        <v>0</v>
      </c>
      <c r="V29" s="544">
        <f t="shared" si="15"/>
        <v>0</v>
      </c>
      <c r="W29" s="544">
        <f t="shared" si="15"/>
        <v>0</v>
      </c>
      <c r="X29" s="544">
        <f t="shared" si="15"/>
        <v>0</v>
      </c>
      <c r="Y29" s="544">
        <f t="shared" si="15"/>
        <v>0</v>
      </c>
      <c r="Z29" s="544">
        <f t="shared" si="15"/>
        <v>0</v>
      </c>
      <c r="AA29" s="544">
        <f t="shared" si="15"/>
        <v>0</v>
      </c>
      <c r="AB29" s="544">
        <f t="shared" si="15"/>
        <v>0</v>
      </c>
      <c r="AC29" s="544">
        <f t="shared" si="15"/>
        <v>0</v>
      </c>
      <c r="AD29" s="544">
        <f t="shared" si="15"/>
        <v>0</v>
      </c>
      <c r="AE29" s="544">
        <f t="shared" si="15"/>
        <v>0</v>
      </c>
      <c r="AF29" s="544">
        <f t="shared" si="15"/>
        <v>0</v>
      </c>
      <c r="AG29" s="544">
        <f t="shared" si="15"/>
        <v>0</v>
      </c>
      <c r="AH29" s="544">
        <f t="shared" si="15"/>
        <v>0</v>
      </c>
      <c r="AI29" s="544">
        <f t="shared" si="15"/>
        <v>0</v>
      </c>
      <c r="AJ29" s="544">
        <f t="shared" si="15"/>
        <v>0</v>
      </c>
      <c r="AK29" s="544">
        <f t="shared" si="15"/>
        <v>0</v>
      </c>
      <c r="AL29" s="475">
        <f t="shared" si="15"/>
        <v>0</v>
      </c>
      <c r="AM29" s="478"/>
      <c r="AN29" s="477"/>
      <c r="AQ29" s="555">
        <v>22</v>
      </c>
    </row>
    <row r="30" spans="1:43" ht="15">
      <c r="A30" s="480" t="s">
        <v>13</v>
      </c>
      <c r="B30" s="488"/>
      <c r="C30" s="603">
        <v>0.023</v>
      </c>
      <c r="D30" s="542"/>
      <c r="E30" s="477"/>
      <c r="F30" s="478"/>
      <c r="G30" s="562" t="s">
        <v>26</v>
      </c>
      <c r="H30" s="428"/>
      <c r="I30" s="544">
        <f>-MAX(I27*$C$31,0)</f>
        <v>0</v>
      </c>
      <c r="J30" s="544">
        <f aca="true" t="shared" si="16" ref="J30:AL30">-MAX(J27*$C$31,0)</f>
        <v>0</v>
      </c>
      <c r="K30" s="544">
        <f t="shared" si="16"/>
        <v>0</v>
      </c>
      <c r="L30" s="544">
        <f t="shared" si="16"/>
        <v>0</v>
      </c>
      <c r="M30" s="544">
        <f t="shared" si="16"/>
        <v>0</v>
      </c>
      <c r="N30" s="544">
        <f t="shared" si="16"/>
        <v>0</v>
      </c>
      <c r="O30" s="544">
        <f t="shared" si="16"/>
        <v>-5079827.257360405</v>
      </c>
      <c r="P30" s="544">
        <f t="shared" si="16"/>
        <v>-5337739.22914127</v>
      </c>
      <c r="Q30" s="544">
        <f t="shared" si="16"/>
        <v>-5604552.531089698</v>
      </c>
      <c r="R30" s="544">
        <f t="shared" si="16"/>
        <v>-5880630.0879269885</v>
      </c>
      <c r="S30" s="544">
        <f t="shared" si="16"/>
        <v>-6166351.634459449</v>
      </c>
      <c r="T30" s="544">
        <f t="shared" si="16"/>
        <v>-6462114.555840426</v>
      </c>
      <c r="U30" s="544">
        <f t="shared" si="16"/>
        <v>-6768334.771497263</v>
      </c>
      <c r="V30" s="544">
        <f t="shared" si="16"/>
        <v>-7085447.665033922</v>
      </c>
      <c r="W30" s="544">
        <f t="shared" si="16"/>
        <v>-7413909.062543382</v>
      </c>
      <c r="X30" s="544">
        <f t="shared" si="16"/>
        <v>-7754196.261893622</v>
      </c>
      <c r="Y30" s="544">
        <f t="shared" si="16"/>
        <v>-8106809.115688108</v>
      </c>
      <c r="Z30" s="544">
        <f t="shared" si="16"/>
        <v>-8472271.17074567</v>
      </c>
      <c r="AA30" s="544">
        <f t="shared" si="16"/>
        <v>-8851130.867096663</v>
      </c>
      <c r="AB30" s="544">
        <f t="shared" si="16"/>
        <v>-9243962.799652284</v>
      </c>
      <c r="AC30" s="544">
        <f t="shared" si="16"/>
        <v>0</v>
      </c>
      <c r="AD30" s="544">
        <f t="shared" si="16"/>
        <v>0</v>
      </c>
      <c r="AE30" s="544">
        <f t="shared" si="16"/>
        <v>0</v>
      </c>
      <c r="AF30" s="544">
        <f t="shared" si="16"/>
        <v>0</v>
      </c>
      <c r="AG30" s="544">
        <f t="shared" si="16"/>
        <v>0</v>
      </c>
      <c r="AH30" s="544">
        <f t="shared" si="16"/>
        <v>0</v>
      </c>
      <c r="AI30" s="544">
        <f t="shared" si="16"/>
        <v>0</v>
      </c>
      <c r="AJ30" s="544">
        <f t="shared" si="16"/>
        <v>0</v>
      </c>
      <c r="AK30" s="544">
        <f t="shared" si="16"/>
        <v>0</v>
      </c>
      <c r="AL30" s="475">
        <f t="shared" si="16"/>
        <v>0</v>
      </c>
      <c r="AM30" s="478"/>
      <c r="AN30" s="477"/>
      <c r="AQ30" s="555">
        <v>23</v>
      </c>
    </row>
    <row r="31" spans="1:43" ht="15">
      <c r="A31" s="484" t="s">
        <v>14</v>
      </c>
      <c r="B31" s="488"/>
      <c r="C31" s="603">
        <v>0.3962</v>
      </c>
      <c r="D31" s="436"/>
      <c r="E31" s="477"/>
      <c r="F31" s="478"/>
      <c r="G31" s="562" t="s">
        <v>144</v>
      </c>
      <c r="H31" s="428"/>
      <c r="I31" s="544">
        <f>I29</f>
        <v>6044400</v>
      </c>
      <c r="J31" s="544">
        <f>IF(J$8&gt;20,0,MAX(I31+J30+J29,0))</f>
        <v>12088800</v>
      </c>
      <c r="K31" s="544">
        <f aca="true" t="shared" si="17" ref="K31:AL31">IF(K$8&gt;20,0,MAX(J31+K30+K29,0))</f>
        <v>18133200</v>
      </c>
      <c r="L31" s="544">
        <f t="shared" si="17"/>
        <v>24177600</v>
      </c>
      <c r="M31" s="544">
        <f t="shared" si="17"/>
        <v>30222000</v>
      </c>
      <c r="N31" s="544">
        <f t="shared" si="17"/>
        <v>36266400</v>
      </c>
      <c r="O31" s="544">
        <f t="shared" si="17"/>
        <v>37230972.742639594</v>
      </c>
      <c r="P31" s="544">
        <f t="shared" si="17"/>
        <v>37937633.51349832</v>
      </c>
      <c r="Q31" s="544">
        <f t="shared" si="17"/>
        <v>38377480.98240863</v>
      </c>
      <c r="R31" s="544">
        <f t="shared" si="17"/>
        <v>38541250.894481644</v>
      </c>
      <c r="S31" s="544">
        <f t="shared" si="17"/>
        <v>32374899.260022193</v>
      </c>
      <c r="T31" s="544">
        <f t="shared" si="17"/>
        <v>25912784.704181768</v>
      </c>
      <c r="U31" s="544">
        <f t="shared" si="17"/>
        <v>19144449.932684503</v>
      </c>
      <c r="V31" s="544">
        <f t="shared" si="17"/>
        <v>12059002.267650582</v>
      </c>
      <c r="W31" s="544">
        <f t="shared" si="17"/>
        <v>4645093.2051072</v>
      </c>
      <c r="X31" s="544">
        <f t="shared" si="17"/>
        <v>0</v>
      </c>
      <c r="Y31" s="544">
        <f t="shared" si="17"/>
        <v>0</v>
      </c>
      <c r="Z31" s="544">
        <f t="shared" si="17"/>
        <v>0</v>
      </c>
      <c r="AA31" s="544">
        <f t="shared" si="17"/>
        <v>0</v>
      </c>
      <c r="AB31" s="544">
        <f t="shared" si="17"/>
        <v>0</v>
      </c>
      <c r="AC31" s="544">
        <f t="shared" si="17"/>
        <v>0</v>
      </c>
      <c r="AD31" s="544">
        <f t="shared" si="17"/>
        <v>0</v>
      </c>
      <c r="AE31" s="544">
        <f t="shared" si="17"/>
        <v>0</v>
      </c>
      <c r="AF31" s="544">
        <f t="shared" si="17"/>
        <v>0</v>
      </c>
      <c r="AG31" s="544">
        <f t="shared" si="17"/>
        <v>0</v>
      </c>
      <c r="AH31" s="544">
        <f t="shared" si="17"/>
        <v>0</v>
      </c>
      <c r="AI31" s="544">
        <f t="shared" si="17"/>
        <v>0</v>
      </c>
      <c r="AJ31" s="544">
        <f t="shared" si="17"/>
        <v>0</v>
      </c>
      <c r="AK31" s="544">
        <f t="shared" si="17"/>
        <v>0</v>
      </c>
      <c r="AL31" s="475">
        <f t="shared" si="17"/>
        <v>0</v>
      </c>
      <c r="AM31" s="478"/>
      <c r="AN31" s="477"/>
      <c r="AQ31" s="555">
        <v>24</v>
      </c>
    </row>
    <row r="32" spans="1:43" ht="15">
      <c r="A32" s="484" t="s">
        <v>98</v>
      </c>
      <c r="B32" s="488"/>
      <c r="C32" s="472">
        <v>10</v>
      </c>
      <c r="D32" s="436"/>
      <c r="E32" s="477"/>
      <c r="F32" s="478"/>
      <c r="G32" s="562" t="s">
        <v>145</v>
      </c>
      <c r="H32" s="535"/>
      <c r="I32" s="547">
        <f aca="true" t="shared" si="18" ref="I32:AL32">-MAX(MAX(I27*$AS$46-I31,0)+$AS$50*I27,0)</f>
        <v>0</v>
      </c>
      <c r="J32" s="547">
        <f t="shared" si="18"/>
        <v>0</v>
      </c>
      <c r="K32" s="547">
        <f t="shared" si="18"/>
        <v>0</v>
      </c>
      <c r="L32" s="547">
        <f t="shared" si="18"/>
        <v>0</v>
      </c>
      <c r="M32" s="547">
        <f t="shared" si="18"/>
        <v>0</v>
      </c>
      <c r="N32" s="547">
        <f t="shared" si="18"/>
        <v>0</v>
      </c>
      <c r="O32" s="547">
        <f t="shared" si="18"/>
        <v>-1329255.6559990912</v>
      </c>
      <c r="P32" s="547">
        <f t="shared" si="18"/>
        <v>-1396744.357852653</v>
      </c>
      <c r="Q32" s="547">
        <f t="shared" si="18"/>
        <v>-1466562.3010114194</v>
      </c>
      <c r="R32" s="547">
        <f t="shared" si="18"/>
        <v>-1538804.453220168</v>
      </c>
      <c r="S32" s="547">
        <f t="shared" si="18"/>
        <v>-1613570.1809757277</v>
      </c>
      <c r="T32" s="547">
        <f t="shared" si="18"/>
        <v>-1690963.4694012017</v>
      </c>
      <c r="U32" s="547">
        <f t="shared" si="18"/>
        <v>-1771093.153546135</v>
      </c>
      <c r="V32" s="547">
        <f t="shared" si="18"/>
        <v>-1854073.1617172938</v>
      </c>
      <c r="W32" s="547">
        <f t="shared" si="18"/>
        <v>-3844319.1975918626</v>
      </c>
      <c r="X32" s="547">
        <f t="shared" si="18"/>
        <v>-8879063.576765746</v>
      </c>
      <c r="Y32" s="547">
        <f t="shared" si="18"/>
        <v>-9282828.43402272</v>
      </c>
      <c r="Z32" s="547">
        <f t="shared" si="18"/>
        <v>-9701306.469934482</v>
      </c>
      <c r="AA32" s="547">
        <f t="shared" si="18"/>
        <v>-10135125.684326295</v>
      </c>
      <c r="AB32" s="547">
        <f t="shared" si="18"/>
        <v>-10584944.026078368</v>
      </c>
      <c r="AC32" s="547">
        <f t="shared" si="18"/>
        <v>0</v>
      </c>
      <c r="AD32" s="547">
        <f t="shared" si="18"/>
        <v>0</v>
      </c>
      <c r="AE32" s="547">
        <f t="shared" si="18"/>
        <v>0</v>
      </c>
      <c r="AF32" s="547">
        <f t="shared" si="18"/>
        <v>0</v>
      </c>
      <c r="AG32" s="547">
        <f t="shared" si="18"/>
        <v>0</v>
      </c>
      <c r="AH32" s="547">
        <f t="shared" si="18"/>
        <v>0</v>
      </c>
      <c r="AI32" s="547">
        <f t="shared" si="18"/>
        <v>0</v>
      </c>
      <c r="AJ32" s="547">
        <f t="shared" si="18"/>
        <v>0</v>
      </c>
      <c r="AK32" s="547">
        <f t="shared" si="18"/>
        <v>0</v>
      </c>
      <c r="AL32" s="587">
        <f t="shared" si="18"/>
        <v>0</v>
      </c>
      <c r="AM32" s="478"/>
      <c r="AN32" s="477"/>
      <c r="AQ32" s="555">
        <v>25</v>
      </c>
    </row>
    <row r="33" spans="1:43" ht="15">
      <c r="A33" s="480" t="s">
        <v>75</v>
      </c>
      <c r="B33" s="488"/>
      <c r="C33" s="472">
        <v>20</v>
      </c>
      <c r="D33" s="436"/>
      <c r="E33" s="477"/>
      <c r="F33" s="478"/>
      <c r="G33" s="456" t="s">
        <v>27</v>
      </c>
      <c r="H33" s="428"/>
      <c r="I33" s="544">
        <f>I52</f>
        <v>-3271400.356277285</v>
      </c>
      <c r="J33" s="427">
        <f aca="true" t="shared" si="19" ref="J33:X33">J52</f>
        <v>-3447074.5554093756</v>
      </c>
      <c r="K33" s="427">
        <f t="shared" si="19"/>
        <v>-3632182.459034859</v>
      </c>
      <c r="L33" s="427">
        <f t="shared" si="19"/>
        <v>-3827230.6570850313</v>
      </c>
      <c r="M33" s="427">
        <f t="shared" si="19"/>
        <v>-4032752.943370497</v>
      </c>
      <c r="N33" s="427">
        <f t="shared" si="19"/>
        <v>-4249311.776429492</v>
      </c>
      <c r="O33" s="427">
        <f t="shared" si="19"/>
        <v>-4477499.818823756</v>
      </c>
      <c r="P33" s="427">
        <f t="shared" si="19"/>
        <v>-4717941.559094592</v>
      </c>
      <c r="Q33" s="427">
        <f t="shared" si="19"/>
        <v>-4971295.020817971</v>
      </c>
      <c r="R33" s="427">
        <f t="shared" si="19"/>
        <v>-5238253.563435895</v>
      </c>
      <c r="S33" s="490">
        <f t="shared" si="19"/>
        <v>-5519547.779792404</v>
      </c>
      <c r="T33" s="427">
        <f t="shared" si="19"/>
        <v>-5815947.495567256</v>
      </c>
      <c r="U33" s="427">
        <f t="shared" si="19"/>
        <v>-6128263.8760792175</v>
      </c>
      <c r="V33" s="427">
        <f t="shared" si="19"/>
        <v>-6457351.646224672</v>
      </c>
      <c r="W33" s="490">
        <f t="shared" si="19"/>
        <v>-6804111.429626936</v>
      </c>
      <c r="X33" s="490">
        <f t="shared" si="19"/>
        <v>-7169492.213397902</v>
      </c>
      <c r="Y33" s="490">
        <f>Y52</f>
        <v>-7554493.945257369</v>
      </c>
      <c r="Z33" s="427">
        <f aca="true" t="shared" si="20" ref="Z33:AL33">Z52</f>
        <v>-7960170.270117691</v>
      </c>
      <c r="AA33" s="427">
        <f t="shared" si="20"/>
        <v>-8387631.413623011</v>
      </c>
      <c r="AB33" s="427">
        <f t="shared" si="20"/>
        <v>-8838047.220534567</v>
      </c>
      <c r="AC33" s="427">
        <f t="shared" si="20"/>
        <v>0</v>
      </c>
      <c r="AD33" s="427">
        <f t="shared" si="20"/>
        <v>0</v>
      </c>
      <c r="AE33" s="427">
        <f t="shared" si="20"/>
        <v>0</v>
      </c>
      <c r="AF33" s="427">
        <f t="shared" si="20"/>
        <v>0</v>
      </c>
      <c r="AG33" s="427">
        <f t="shared" si="20"/>
        <v>0</v>
      </c>
      <c r="AH33" s="427">
        <f t="shared" si="20"/>
        <v>0</v>
      </c>
      <c r="AI33" s="490">
        <f t="shared" si="20"/>
        <v>0</v>
      </c>
      <c r="AJ33" s="427">
        <f t="shared" si="20"/>
        <v>0</v>
      </c>
      <c r="AK33" s="427">
        <f t="shared" si="20"/>
        <v>0</v>
      </c>
      <c r="AL33" s="504">
        <f t="shared" si="20"/>
        <v>0</v>
      </c>
      <c r="AM33" s="478"/>
      <c r="AN33" s="477"/>
      <c r="AQ33" s="555">
        <v>26</v>
      </c>
    </row>
    <row r="34" spans="1:43" ht="15.75" thickBot="1">
      <c r="A34" s="484" t="s">
        <v>44</v>
      </c>
      <c r="B34" s="430"/>
      <c r="C34" s="510" t="s">
        <v>45</v>
      </c>
      <c r="D34" s="436"/>
      <c r="E34" s="477"/>
      <c r="F34" s="478"/>
      <c r="G34" s="457" t="s">
        <v>40</v>
      </c>
      <c r="H34" s="548"/>
      <c r="I34" s="439">
        <f aca="true" t="shared" si="21" ref="I34:AL34">I24+I25+I32+I33</f>
        <v>6037500.043722713</v>
      </c>
      <c r="J34" s="440">
        <f t="shared" si="21"/>
        <v>6400846.234101111</v>
      </c>
      <c r="K34" s="440">
        <f t="shared" si="21"/>
        <v>6772829.255679269</v>
      </c>
      <c r="L34" s="440">
        <f t="shared" si="21"/>
        <v>7153655.338003656</v>
      </c>
      <c r="M34" s="440">
        <f t="shared" si="21"/>
        <v>7543535.65866982</v>
      </c>
      <c r="N34" s="440">
        <f t="shared" si="21"/>
        <v>7942686.462641575</v>
      </c>
      <c r="O34" s="440">
        <f t="shared" si="21"/>
        <v>7014615.694688524</v>
      </c>
      <c r="P34" s="440">
        <f t="shared" si="21"/>
        <v>7357649.340855052</v>
      </c>
      <c r="Q34" s="440">
        <f t="shared" si="21"/>
        <v>7707908.783899277</v>
      </c>
      <c r="R34" s="440">
        <f t="shared" si="21"/>
        <v>8065521.710570056</v>
      </c>
      <c r="S34" s="514">
        <f t="shared" si="21"/>
        <v>8430616.60374335</v>
      </c>
      <c r="T34" s="440">
        <f t="shared" si="21"/>
        <v>8803322.64391702</v>
      </c>
      <c r="U34" s="440">
        <f t="shared" si="21"/>
        <v>9183769.602119379</v>
      </c>
      <c r="V34" s="440">
        <f t="shared" si="21"/>
        <v>9572087.723693375</v>
      </c>
      <c r="W34" s="514">
        <f t="shared" si="21"/>
        <v>8064111.176272826</v>
      </c>
      <c r="X34" s="514">
        <f t="shared" si="21"/>
        <v>3522863.3463674514</v>
      </c>
      <c r="Y34" s="514">
        <f t="shared" si="21"/>
        <v>3624083.7683425955</v>
      </c>
      <c r="Z34" s="440">
        <f t="shared" si="21"/>
        <v>3722347.517256437</v>
      </c>
      <c r="AA34" s="440">
        <f t="shared" si="21"/>
        <v>3817300.6180947702</v>
      </c>
      <c r="AB34" s="440">
        <f t="shared" si="21"/>
        <v>3908565.542009691</v>
      </c>
      <c r="AC34" s="440">
        <f t="shared" si="21"/>
        <v>0</v>
      </c>
      <c r="AD34" s="440">
        <f t="shared" si="21"/>
        <v>0</v>
      </c>
      <c r="AE34" s="440">
        <f t="shared" si="21"/>
        <v>0</v>
      </c>
      <c r="AF34" s="440">
        <f t="shared" si="21"/>
        <v>0</v>
      </c>
      <c r="AG34" s="440">
        <f t="shared" si="21"/>
        <v>0</v>
      </c>
      <c r="AH34" s="440">
        <f t="shared" si="21"/>
        <v>0</v>
      </c>
      <c r="AI34" s="514">
        <f t="shared" si="21"/>
        <v>0</v>
      </c>
      <c r="AJ34" s="440">
        <f t="shared" si="21"/>
        <v>0</v>
      </c>
      <c r="AK34" s="440">
        <f t="shared" si="21"/>
        <v>0</v>
      </c>
      <c r="AL34" s="495">
        <f t="shared" si="21"/>
        <v>0</v>
      </c>
      <c r="AM34" s="478"/>
      <c r="AN34" s="477"/>
      <c r="AQ34" s="555">
        <v>27</v>
      </c>
    </row>
    <row r="35" spans="1:43" ht="15.75" thickTop="1">
      <c r="A35" s="480" t="s">
        <v>15</v>
      </c>
      <c r="B35" s="488"/>
      <c r="C35" s="472">
        <v>5</v>
      </c>
      <c r="D35" s="436"/>
      <c r="E35" s="477"/>
      <c r="F35" s="478"/>
      <c r="G35" s="563"/>
      <c r="H35" s="549"/>
      <c r="I35" s="546"/>
      <c r="J35" s="533"/>
      <c r="K35" s="533"/>
      <c r="L35" s="533"/>
      <c r="M35" s="533"/>
      <c r="N35" s="533"/>
      <c r="O35" s="533"/>
      <c r="P35" s="533"/>
      <c r="Q35" s="533"/>
      <c r="R35" s="533"/>
      <c r="S35" s="507"/>
      <c r="T35" s="533"/>
      <c r="U35" s="533"/>
      <c r="V35" s="533"/>
      <c r="W35" s="507"/>
      <c r="X35" s="507"/>
      <c r="Y35" s="507"/>
      <c r="Z35" s="533"/>
      <c r="AA35" s="533"/>
      <c r="AB35" s="533"/>
      <c r="AC35" s="533"/>
      <c r="AD35" s="533"/>
      <c r="AE35" s="533"/>
      <c r="AF35" s="533"/>
      <c r="AG35" s="533"/>
      <c r="AH35" s="533"/>
      <c r="AI35" s="507"/>
      <c r="AJ35" s="533"/>
      <c r="AK35" s="533"/>
      <c r="AL35" s="515"/>
      <c r="AM35" s="478"/>
      <c r="AN35" s="477"/>
      <c r="AQ35" s="555">
        <v>28</v>
      </c>
    </row>
    <row r="36" spans="1:43" ht="15">
      <c r="A36" s="505" t="s">
        <v>4</v>
      </c>
      <c r="B36" s="518"/>
      <c r="C36" s="493"/>
      <c r="E36" s="477"/>
      <c r="F36" s="478"/>
      <c r="G36" s="456" t="s">
        <v>28</v>
      </c>
      <c r="H36" s="558"/>
      <c r="I36" s="532">
        <f aca="true" t="shared" si="22" ref="I36:AL36">IF($C$22&lt;&gt;0,MAX((($C$22+1-I8)/$C$22),0),0)*($C$9*$C$10/100)*(IF(I8&gt;$C$33,0,$C$21))</f>
        <v>16364873.636000015</v>
      </c>
      <c r="J36" s="532">
        <f t="shared" si="22"/>
        <v>13091898.908800013</v>
      </c>
      <c r="K36" s="532">
        <f t="shared" si="22"/>
        <v>9818924.181600008</v>
      </c>
      <c r="L36" s="532">
        <f t="shared" si="22"/>
        <v>6545949.454400007</v>
      </c>
      <c r="M36" s="532">
        <f t="shared" si="22"/>
        <v>3272974.7272000033</v>
      </c>
      <c r="N36" s="532">
        <f t="shared" si="22"/>
        <v>0</v>
      </c>
      <c r="O36" s="532">
        <f t="shared" si="22"/>
        <v>0</v>
      </c>
      <c r="P36" s="532">
        <f t="shared" si="22"/>
        <v>0</v>
      </c>
      <c r="Q36" s="532">
        <f t="shared" si="22"/>
        <v>0</v>
      </c>
      <c r="R36" s="532">
        <f t="shared" si="22"/>
        <v>0</v>
      </c>
      <c r="S36" s="532">
        <f t="shared" si="22"/>
        <v>0</v>
      </c>
      <c r="T36" s="532">
        <f t="shared" si="22"/>
        <v>0</v>
      </c>
      <c r="U36" s="532">
        <f t="shared" si="22"/>
        <v>0</v>
      </c>
      <c r="V36" s="532">
        <f t="shared" si="22"/>
        <v>0</v>
      </c>
      <c r="W36" s="532">
        <f t="shared" si="22"/>
        <v>0</v>
      </c>
      <c r="X36" s="532">
        <f t="shared" si="22"/>
        <v>0</v>
      </c>
      <c r="Y36" s="532">
        <f t="shared" si="22"/>
        <v>0</v>
      </c>
      <c r="Z36" s="532">
        <f t="shared" si="22"/>
        <v>0</v>
      </c>
      <c r="AA36" s="532">
        <f t="shared" si="22"/>
        <v>0</v>
      </c>
      <c r="AB36" s="532">
        <f t="shared" si="22"/>
        <v>0</v>
      </c>
      <c r="AC36" s="532">
        <f t="shared" si="22"/>
        <v>0</v>
      </c>
      <c r="AD36" s="532">
        <f t="shared" si="22"/>
        <v>0</v>
      </c>
      <c r="AE36" s="532">
        <f t="shared" si="22"/>
        <v>0</v>
      </c>
      <c r="AF36" s="532">
        <f t="shared" si="22"/>
        <v>0</v>
      </c>
      <c r="AG36" s="532">
        <f t="shared" si="22"/>
        <v>0</v>
      </c>
      <c r="AH36" s="532">
        <f t="shared" si="22"/>
        <v>0</v>
      </c>
      <c r="AI36" s="532">
        <f t="shared" si="22"/>
        <v>0</v>
      </c>
      <c r="AJ36" s="532">
        <f t="shared" si="22"/>
        <v>0</v>
      </c>
      <c r="AK36" s="532">
        <f t="shared" si="22"/>
        <v>0</v>
      </c>
      <c r="AL36" s="550">
        <f t="shared" si="22"/>
        <v>0</v>
      </c>
      <c r="AM36" s="478"/>
      <c r="AN36" s="477"/>
      <c r="AQ36" s="555">
        <v>29</v>
      </c>
    </row>
    <row r="37" spans="1:43" ht="15">
      <c r="A37" s="484" t="s">
        <v>5</v>
      </c>
      <c r="B37" s="540" t="s">
        <v>89</v>
      </c>
      <c r="C37" s="577">
        <f>2%*C8</f>
        <v>4500000</v>
      </c>
      <c r="E37" s="477"/>
      <c r="F37" s="478"/>
      <c r="G37" s="601" t="s">
        <v>26</v>
      </c>
      <c r="H37" s="558"/>
      <c r="I37" s="532">
        <f>IF($C$24="NO",0,-I36*$C$31)</f>
        <v>-6483762.934583206</v>
      </c>
      <c r="J37" s="532">
        <f aca="true" t="shared" si="23" ref="J37:AL37">IF($C$24="NO",0,-J36*$C$31)</f>
        <v>-5187010.347666565</v>
      </c>
      <c r="K37" s="532">
        <f t="shared" si="23"/>
        <v>-3890257.760749923</v>
      </c>
      <c r="L37" s="532">
        <f t="shared" si="23"/>
        <v>-2593505.1738332827</v>
      </c>
      <c r="M37" s="532">
        <f>IF($C$24="NO",0,-M36*$C$31)</f>
        <v>-1296752.5869166413</v>
      </c>
      <c r="N37" s="532">
        <f t="shared" si="23"/>
        <v>0</v>
      </c>
      <c r="O37" s="532">
        <f t="shared" si="23"/>
        <v>0</v>
      </c>
      <c r="P37" s="532">
        <f t="shared" si="23"/>
        <v>0</v>
      </c>
      <c r="Q37" s="532">
        <f t="shared" si="23"/>
        <v>0</v>
      </c>
      <c r="R37" s="532">
        <f t="shared" si="23"/>
        <v>0</v>
      </c>
      <c r="S37" s="532">
        <f t="shared" si="23"/>
        <v>0</v>
      </c>
      <c r="T37" s="532">
        <f t="shared" si="23"/>
        <v>0</v>
      </c>
      <c r="U37" s="532">
        <f t="shared" si="23"/>
        <v>0</v>
      </c>
      <c r="V37" s="532">
        <f t="shared" si="23"/>
        <v>0</v>
      </c>
      <c r="W37" s="532">
        <f t="shared" si="23"/>
        <v>0</v>
      </c>
      <c r="X37" s="532">
        <f t="shared" si="23"/>
        <v>0</v>
      </c>
      <c r="Y37" s="532">
        <f t="shared" si="23"/>
        <v>0</v>
      </c>
      <c r="Z37" s="532">
        <f t="shared" si="23"/>
        <v>0</v>
      </c>
      <c r="AA37" s="532">
        <f t="shared" si="23"/>
        <v>0</v>
      </c>
      <c r="AB37" s="532">
        <f t="shared" si="23"/>
        <v>0</v>
      </c>
      <c r="AC37" s="532">
        <f t="shared" si="23"/>
        <v>0</v>
      </c>
      <c r="AD37" s="532">
        <f t="shared" si="23"/>
        <v>0</v>
      </c>
      <c r="AE37" s="532">
        <f t="shared" si="23"/>
        <v>0</v>
      </c>
      <c r="AF37" s="532">
        <f t="shared" si="23"/>
        <v>0</v>
      </c>
      <c r="AG37" s="532">
        <f t="shared" si="23"/>
        <v>0</v>
      </c>
      <c r="AH37" s="532">
        <f t="shared" si="23"/>
        <v>0</v>
      </c>
      <c r="AI37" s="532">
        <f t="shared" si="23"/>
        <v>0</v>
      </c>
      <c r="AJ37" s="532">
        <f t="shared" si="23"/>
        <v>0</v>
      </c>
      <c r="AK37" s="532">
        <f t="shared" si="23"/>
        <v>0</v>
      </c>
      <c r="AL37" s="550">
        <f t="shared" si="23"/>
        <v>0</v>
      </c>
      <c r="AM37" s="478"/>
      <c r="AN37" s="477"/>
      <c r="AQ37" s="555">
        <v>30</v>
      </c>
    </row>
    <row r="38" spans="1:40" ht="15.75" thickBot="1">
      <c r="A38" s="484" t="s">
        <v>6</v>
      </c>
      <c r="B38" s="540" t="s">
        <v>89</v>
      </c>
      <c r="C38" s="577">
        <v>0</v>
      </c>
      <c r="D38" s="435"/>
      <c r="E38" s="477"/>
      <c r="F38" s="478"/>
      <c r="G38" s="457" t="s">
        <v>41</v>
      </c>
      <c r="H38" s="548"/>
      <c r="I38" s="441">
        <f>I36+I34+I37</f>
        <v>15918610.74513952</v>
      </c>
      <c r="J38" s="442">
        <f aca="true" t="shared" si="24" ref="J38:AL38">J36+J34+J37</f>
        <v>14305734.795234557</v>
      </c>
      <c r="K38" s="442">
        <f t="shared" si="24"/>
        <v>12701495.676529353</v>
      </c>
      <c r="L38" s="442">
        <f t="shared" si="24"/>
        <v>11106099.61857038</v>
      </c>
      <c r="M38" s="442">
        <f t="shared" si="24"/>
        <v>9519757.798953183</v>
      </c>
      <c r="N38" s="442">
        <f>N36+N34+N37</f>
        <v>7942686.462641575</v>
      </c>
      <c r="O38" s="442">
        <f t="shared" si="24"/>
        <v>7014615.694688524</v>
      </c>
      <c r="P38" s="442">
        <f t="shared" si="24"/>
        <v>7357649.340855052</v>
      </c>
      <c r="Q38" s="442">
        <f t="shared" si="24"/>
        <v>7707908.783899277</v>
      </c>
      <c r="R38" s="442">
        <f t="shared" si="24"/>
        <v>8065521.710570056</v>
      </c>
      <c r="S38" s="511">
        <f t="shared" si="24"/>
        <v>8430616.60374335</v>
      </c>
      <c r="T38" s="442">
        <f t="shared" si="24"/>
        <v>8803322.64391702</v>
      </c>
      <c r="U38" s="442">
        <f t="shared" si="24"/>
        <v>9183769.602119379</v>
      </c>
      <c r="V38" s="442">
        <f t="shared" si="24"/>
        <v>9572087.723693375</v>
      </c>
      <c r="W38" s="511">
        <f t="shared" si="24"/>
        <v>8064111.176272826</v>
      </c>
      <c r="X38" s="511">
        <f t="shared" si="24"/>
        <v>3522863.3463674514</v>
      </c>
      <c r="Y38" s="511">
        <f t="shared" si="24"/>
        <v>3624083.7683425955</v>
      </c>
      <c r="Z38" s="442">
        <f t="shared" si="24"/>
        <v>3722347.517256437</v>
      </c>
      <c r="AA38" s="442">
        <f t="shared" si="24"/>
        <v>3817300.6180947702</v>
      </c>
      <c r="AB38" s="442">
        <f t="shared" si="24"/>
        <v>3908565.542009691</v>
      </c>
      <c r="AC38" s="442">
        <f t="shared" si="24"/>
        <v>0</v>
      </c>
      <c r="AD38" s="442">
        <f t="shared" si="24"/>
        <v>0</v>
      </c>
      <c r="AE38" s="442">
        <f t="shared" si="24"/>
        <v>0</v>
      </c>
      <c r="AF38" s="442">
        <f t="shared" si="24"/>
        <v>0</v>
      </c>
      <c r="AG38" s="442">
        <f t="shared" si="24"/>
        <v>0</v>
      </c>
      <c r="AH38" s="442">
        <f t="shared" si="24"/>
        <v>0</v>
      </c>
      <c r="AI38" s="511">
        <f t="shared" si="24"/>
        <v>0</v>
      </c>
      <c r="AJ38" s="442">
        <f t="shared" si="24"/>
        <v>0</v>
      </c>
      <c r="AK38" s="442">
        <f t="shared" si="24"/>
        <v>0</v>
      </c>
      <c r="AL38" s="508">
        <f t="shared" si="24"/>
        <v>0</v>
      </c>
      <c r="AM38" s="478"/>
      <c r="AN38" s="477"/>
    </row>
    <row r="39" spans="1:40" ht="15.75" thickTop="1">
      <c r="A39" s="484" t="s">
        <v>7</v>
      </c>
      <c r="B39" s="540" t="s">
        <v>89</v>
      </c>
      <c r="C39" s="577">
        <v>0</v>
      </c>
      <c r="D39" s="435"/>
      <c r="E39" s="477"/>
      <c r="F39" s="478"/>
      <c r="G39" s="563"/>
      <c r="H39" s="549"/>
      <c r="I39" s="547"/>
      <c r="J39" s="532"/>
      <c r="K39" s="532"/>
      <c r="L39" s="532"/>
      <c r="M39" s="532"/>
      <c r="N39" s="532"/>
      <c r="O39" s="532"/>
      <c r="P39" s="532"/>
      <c r="Q39" s="532"/>
      <c r="R39" s="532"/>
      <c r="S39" s="500"/>
      <c r="T39" s="532"/>
      <c r="U39" s="532"/>
      <c r="V39" s="532"/>
      <c r="W39" s="500"/>
      <c r="X39" s="500"/>
      <c r="Y39" s="500"/>
      <c r="Z39" s="532"/>
      <c r="AA39" s="532"/>
      <c r="AB39" s="532"/>
      <c r="AC39" s="532"/>
      <c r="AD39" s="532"/>
      <c r="AE39" s="532"/>
      <c r="AF39" s="532"/>
      <c r="AG39" s="532"/>
      <c r="AH39" s="532"/>
      <c r="AI39" s="500"/>
      <c r="AJ39" s="532"/>
      <c r="AK39" s="532"/>
      <c r="AL39" s="550"/>
      <c r="AM39" s="478"/>
      <c r="AN39" s="477"/>
    </row>
    <row r="40" spans="1:43" ht="15.75" thickBot="1">
      <c r="A40" s="484" t="s">
        <v>142</v>
      </c>
      <c r="B40" s="540" t="s">
        <v>89</v>
      </c>
      <c r="C40" s="577">
        <v>0</v>
      </c>
      <c r="D40" s="435"/>
      <c r="E40" s="477"/>
      <c r="F40" s="478"/>
      <c r="G40" s="456" t="s">
        <v>38</v>
      </c>
      <c r="H40" s="559"/>
      <c r="I40" s="437">
        <f aca="true" t="shared" si="25" ref="I40:AL40">IF(I8&gt;$C$33,0,(I34)/(1+$C$29)^(I8-0.5))</f>
        <v>5784734.020618191</v>
      </c>
      <c r="J40" s="437">
        <f t="shared" si="25"/>
        <v>5630100.391632576</v>
      </c>
      <c r="K40" s="437">
        <f t="shared" si="25"/>
        <v>5468917.450054984</v>
      </c>
      <c r="L40" s="437">
        <f t="shared" si="25"/>
        <v>5302879.387960478</v>
      </c>
      <c r="M40" s="437">
        <f t="shared" si="25"/>
        <v>5133471.807532201</v>
      </c>
      <c r="N40" s="437">
        <f t="shared" si="25"/>
        <v>4961993.021447808</v>
      </c>
      <c r="O40" s="437">
        <f t="shared" si="25"/>
        <v>4022954.3916263976</v>
      </c>
      <c r="P40" s="437">
        <f t="shared" si="25"/>
        <v>3873760.876631241</v>
      </c>
      <c r="Q40" s="437">
        <f t="shared" si="25"/>
        <v>3725484.7128719925</v>
      </c>
      <c r="R40" s="437">
        <f t="shared" si="25"/>
        <v>3578748.508644603</v>
      </c>
      <c r="S40" s="437">
        <f t="shared" si="25"/>
        <v>3434081.1317044892</v>
      </c>
      <c r="T40" s="437">
        <f t="shared" si="25"/>
        <v>3291927.9960463513</v>
      </c>
      <c r="U40" s="437">
        <f t="shared" si="25"/>
        <v>3152660.3471634695</v>
      </c>
      <c r="V40" s="437">
        <f t="shared" si="25"/>
        <v>3016583.6375004677</v>
      </c>
      <c r="W40" s="437">
        <f t="shared" si="25"/>
        <v>2333015.9283647086</v>
      </c>
      <c r="X40" s="437">
        <f t="shared" si="25"/>
        <v>935641.5305552648</v>
      </c>
      <c r="Y40" s="437">
        <f t="shared" si="25"/>
        <v>883617.7220845541</v>
      </c>
      <c r="Z40" s="437">
        <f t="shared" si="25"/>
        <v>833173.7962857777</v>
      </c>
      <c r="AA40" s="437">
        <f t="shared" si="25"/>
        <v>784381.867269199</v>
      </c>
      <c r="AB40" s="437">
        <f t="shared" si="25"/>
        <v>737294.6424640665</v>
      </c>
      <c r="AC40" s="437">
        <f t="shared" si="25"/>
        <v>0</v>
      </c>
      <c r="AD40" s="437">
        <f t="shared" si="25"/>
        <v>0</v>
      </c>
      <c r="AE40" s="437">
        <f t="shared" si="25"/>
        <v>0</v>
      </c>
      <c r="AF40" s="437">
        <f t="shared" si="25"/>
        <v>0</v>
      </c>
      <c r="AG40" s="437">
        <f t="shared" si="25"/>
        <v>0</v>
      </c>
      <c r="AH40" s="437">
        <f t="shared" si="25"/>
        <v>0</v>
      </c>
      <c r="AI40" s="437">
        <f t="shared" si="25"/>
        <v>0</v>
      </c>
      <c r="AJ40" s="437">
        <f t="shared" si="25"/>
        <v>0</v>
      </c>
      <c r="AK40" s="437">
        <f t="shared" si="25"/>
        <v>0</v>
      </c>
      <c r="AL40" s="509">
        <f t="shared" si="25"/>
        <v>0</v>
      </c>
      <c r="AM40" s="478"/>
      <c r="AN40" s="477"/>
      <c r="AQ40" s="555" t="s">
        <v>99</v>
      </c>
    </row>
    <row r="41" spans="1:43" ht="16.5" thickBot="1" thickTop="1">
      <c r="A41" s="505" t="s">
        <v>35</v>
      </c>
      <c r="B41" s="585"/>
      <c r="C41" s="429"/>
      <c r="E41" s="477"/>
      <c r="F41" s="478"/>
      <c r="G41" s="456" t="s">
        <v>39</v>
      </c>
      <c r="H41" s="559"/>
      <c r="I41" s="437">
        <f aca="true" t="shared" si="26" ref="I41:AL41">IF(I8&gt;$C$33,0,(I38)/(1+$C$29)^(I8-0.5))</f>
        <v>15252162.06567635</v>
      </c>
      <c r="J41" s="437">
        <f t="shared" si="26"/>
        <v>12583136.686543554</v>
      </c>
      <c r="K41" s="437">
        <f t="shared" si="26"/>
        <v>10256191.131486392</v>
      </c>
      <c r="L41" s="437">
        <f t="shared" si="26"/>
        <v>8232757.096232708</v>
      </c>
      <c r="M41" s="437">
        <f t="shared" si="26"/>
        <v>6478316.069109467</v>
      </c>
      <c r="N41" s="437">
        <f t="shared" si="26"/>
        <v>4961993.021447808</v>
      </c>
      <c r="O41" s="437">
        <f t="shared" si="26"/>
        <v>4022954.3916263976</v>
      </c>
      <c r="P41" s="437">
        <f t="shared" si="26"/>
        <v>3873760.876631241</v>
      </c>
      <c r="Q41" s="437">
        <f t="shared" si="26"/>
        <v>3725484.7128719925</v>
      </c>
      <c r="R41" s="437">
        <f t="shared" si="26"/>
        <v>3578748.508644603</v>
      </c>
      <c r="S41" s="437">
        <f t="shared" si="26"/>
        <v>3434081.1317044892</v>
      </c>
      <c r="T41" s="437">
        <f t="shared" si="26"/>
        <v>3291927.9960463513</v>
      </c>
      <c r="U41" s="437">
        <f t="shared" si="26"/>
        <v>3152660.3471634695</v>
      </c>
      <c r="V41" s="437">
        <f t="shared" si="26"/>
        <v>3016583.6375004677</v>
      </c>
      <c r="W41" s="437">
        <f t="shared" si="26"/>
        <v>2333015.9283647086</v>
      </c>
      <c r="X41" s="437">
        <f t="shared" si="26"/>
        <v>935641.5305552648</v>
      </c>
      <c r="Y41" s="437">
        <f t="shared" si="26"/>
        <v>883617.7220845541</v>
      </c>
      <c r="Z41" s="437">
        <f t="shared" si="26"/>
        <v>833173.7962857777</v>
      </c>
      <c r="AA41" s="437">
        <f t="shared" si="26"/>
        <v>784381.867269199</v>
      </c>
      <c r="AB41" s="437">
        <f t="shared" si="26"/>
        <v>737294.6424640665</v>
      </c>
      <c r="AC41" s="437">
        <f t="shared" si="26"/>
        <v>0</v>
      </c>
      <c r="AD41" s="437">
        <f t="shared" si="26"/>
        <v>0</v>
      </c>
      <c r="AE41" s="437">
        <f t="shared" si="26"/>
        <v>0</v>
      </c>
      <c r="AF41" s="437">
        <f t="shared" si="26"/>
        <v>0</v>
      </c>
      <c r="AG41" s="437">
        <f t="shared" si="26"/>
        <v>0</v>
      </c>
      <c r="AH41" s="437">
        <f t="shared" si="26"/>
        <v>0</v>
      </c>
      <c r="AI41" s="437">
        <f t="shared" si="26"/>
        <v>0</v>
      </c>
      <c r="AJ41" s="437">
        <f t="shared" si="26"/>
        <v>0</v>
      </c>
      <c r="AK41" s="437">
        <f t="shared" si="26"/>
        <v>0</v>
      </c>
      <c r="AL41" s="509">
        <f t="shared" si="26"/>
        <v>0</v>
      </c>
      <c r="AM41" s="478"/>
      <c r="AN41" s="477"/>
      <c r="AQ41" s="582">
        <f>'ICAP Price&amp;Impact'!N31</f>
        <v>-0.006677</v>
      </c>
    </row>
    <row r="42" spans="1:40" ht="16.5" thickBot="1" thickTop="1">
      <c r="A42" s="484" t="s">
        <v>90</v>
      </c>
      <c r="B42" s="529"/>
      <c r="C42" s="603">
        <f>((1+C28)/(1+C$30))-1</f>
        <v>0.030009775171065733</v>
      </c>
      <c r="E42" s="477"/>
      <c r="F42" s="478"/>
      <c r="G42" s="458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89"/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69"/>
      <c r="AM42" s="478"/>
      <c r="AN42" s="477"/>
    </row>
    <row r="43" spans="1:40" ht="15.75" thickBot="1">
      <c r="A43" s="484" t="s">
        <v>91</v>
      </c>
      <c r="B43" s="529"/>
      <c r="C43" s="603">
        <f>((1+C29)/(1+C$30))-1</f>
        <v>0.064809384164223</v>
      </c>
      <c r="D43" s="544"/>
      <c r="E43" s="477"/>
      <c r="F43" s="478"/>
      <c r="G43" s="497" t="s">
        <v>24</v>
      </c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3"/>
      <c r="AM43" s="478"/>
      <c r="AN43" s="477"/>
    </row>
    <row r="44" spans="1:40" ht="15">
      <c r="A44" s="484" t="s">
        <v>92</v>
      </c>
      <c r="B44" s="529"/>
      <c r="C44" s="603">
        <f>C26*C42+C27*C43</f>
        <v>0.047409579667644364</v>
      </c>
      <c r="E44" s="477"/>
      <c r="F44" s="478"/>
      <c r="G44" s="463" t="s">
        <v>43</v>
      </c>
      <c r="H44" s="565"/>
      <c r="I44" s="526">
        <f>IF($C$34="MACRS",VLOOKUP($C$35,'Depreciation Tables'!$B$35:$AF$40,I8+1),IF($C$34="StraightLine",VLOOKUP($C$35,'Depreciation Tables'!$B$3:$AF$32,I8+1),VLOOKUP($C$35,'Depreciation Tables'!$B$43:$AF$44,I8+1)))</f>
        <v>0.2</v>
      </c>
      <c r="J44" s="526">
        <f>IF($C$34="MACRS",VLOOKUP($C$35,'Depreciation Tables'!$B$35:$AF$40,J8+1),IF($C$34="StraightLine",VLOOKUP($C$35,'Depreciation Tables'!$B$3:$AF$32,J8+1),VLOOKUP($C$35,'Depreciation Tables'!$B$43:$AF$44,J8+1)))</f>
        <v>0.32</v>
      </c>
      <c r="K44" s="526">
        <f>IF($C$34="MACRS",VLOOKUP($C$35,'Depreciation Tables'!$B$35:$AF$40,K8+1),IF($C$34="StraightLine",VLOOKUP($C$35,'Depreciation Tables'!$B$3:$AF$32,K8+1),VLOOKUP($C$35,'Depreciation Tables'!$B$43:$AF$44,K8+1)))</f>
        <v>0.192</v>
      </c>
      <c r="L44" s="526">
        <f>IF($C$34="MACRS",VLOOKUP($C$35,'Depreciation Tables'!$B$35:$AF$40,L8+1),IF($C$34="StraightLine",VLOOKUP($C$35,'Depreciation Tables'!$B$3:$AF$32,L8+1),VLOOKUP($C$35,'Depreciation Tables'!$B$43:$AF$44,L8+1)))</f>
        <v>0.1152</v>
      </c>
      <c r="M44" s="526">
        <f>IF($C$34="MACRS",VLOOKUP($C$35,'Depreciation Tables'!$B$35:$AF$40,M8+1),IF($C$34="StraightLine",VLOOKUP($C$35,'Depreciation Tables'!$B$3:$AF$32,M8+1),VLOOKUP($C$35,'Depreciation Tables'!$B$43:$AF$44,M8+1)))</f>
        <v>0.1152</v>
      </c>
      <c r="N44" s="526">
        <f>IF($C$34="MACRS",VLOOKUP($C$35,'Depreciation Tables'!$B$35:$AF$40,N8+1),IF($C$34="StraightLine",VLOOKUP($C$35,'Depreciation Tables'!$B$3:$AF$32,N8+1),VLOOKUP($C$35,'Depreciation Tables'!$B$43:$AF$44,N8+1)))</f>
        <v>0.0576</v>
      </c>
      <c r="O44" s="526">
        <f>IF($C$34="MACRS",VLOOKUP($C$35,'Depreciation Tables'!$B$35:$AF$40,O8+1),IF($C$34="StraightLine",VLOOKUP($C$35,'Depreciation Tables'!$B$3:$AF$32,O8+1),VLOOKUP($C$35,'Depreciation Tables'!$B$43:$AF$44,O8+1)))</f>
        <v>0</v>
      </c>
      <c r="P44" s="526">
        <f>IF($C$34="MACRS",VLOOKUP($C$35,'Depreciation Tables'!$B$35:$AF$40,P8+1),IF($C$34="StraightLine",VLOOKUP($C$35,'Depreciation Tables'!$B$3:$AF$32,P8+1),VLOOKUP($C$35,'Depreciation Tables'!$B$43:$AF$44,P8+1)))</f>
        <v>0</v>
      </c>
      <c r="Q44" s="526">
        <f>IF($C$34="MACRS",VLOOKUP($C$35,'Depreciation Tables'!$B$35:$AF$40,Q8+1),IF($C$34="StraightLine",VLOOKUP($C$35,'Depreciation Tables'!$B$3:$AF$32,Q8+1),VLOOKUP($C$35,'Depreciation Tables'!$B$43:$AF$44,Q8+1)))</f>
        <v>0</v>
      </c>
      <c r="R44" s="526">
        <f>IF($C$34="MACRS",VLOOKUP($C$35,'Depreciation Tables'!$B$35:$AF$40,R8+1),IF($C$34="StraightLine",VLOOKUP($C$35,'Depreciation Tables'!$B$3:$AF$32,R8+1),VLOOKUP($C$35,'Depreciation Tables'!$B$43:$AF$44,R8+1)))</f>
        <v>0</v>
      </c>
      <c r="S44" s="526">
        <f>IF($C$34="MACRS",VLOOKUP($C$35,'Depreciation Tables'!$B$35:$AF$40,S8+1),IF($C$34="StraightLine",VLOOKUP($C$35,'Depreciation Tables'!$B$3:$AF$32,S8+1),VLOOKUP($C$35,'Depreciation Tables'!$B$43:$AF$44,S8+1)))</f>
        <v>0</v>
      </c>
      <c r="T44" s="526">
        <f>IF($C$34="MACRS",VLOOKUP($C$35,'Depreciation Tables'!$B$35:$AF$40,T8+1),IF($C$34="StraightLine",VLOOKUP($C$35,'Depreciation Tables'!$B$3:$AF$32,T8+1),VLOOKUP($C$35,'Depreciation Tables'!$B$43:$AF$44,T8+1)))</f>
        <v>0</v>
      </c>
      <c r="U44" s="526">
        <f>IF($C$34="MACRS",VLOOKUP($C$35,'Depreciation Tables'!$B$35:$AF$40,U8+1),IF($C$34="StraightLine",VLOOKUP($C$35,'Depreciation Tables'!$B$3:$AF$32,U8+1),VLOOKUP($C$35,'Depreciation Tables'!$B$43:$AF$44,U8+1)))</f>
        <v>0</v>
      </c>
      <c r="V44" s="526">
        <f>IF($C$34="MACRS",VLOOKUP($C$35,'Depreciation Tables'!$B$35:$AF$40,V8+1),IF($C$34="StraightLine",VLOOKUP($C$35,'Depreciation Tables'!$B$3:$AF$32,V8+1),VLOOKUP($C$35,'Depreciation Tables'!$B$43:$AF$44,V8+1)))</f>
        <v>0</v>
      </c>
      <c r="W44" s="526">
        <f>IF($C$34="MACRS",VLOOKUP($C$35,'Depreciation Tables'!$B$35:$AF$40,W8+1),IF($C$34="StraightLine",VLOOKUP($C$35,'Depreciation Tables'!$B$3:$AF$32,W8+1),VLOOKUP($C$35,'Depreciation Tables'!$B$43:$AF$44,W8+1)))</f>
        <v>0</v>
      </c>
      <c r="X44" s="526">
        <f>IF($C$34="MACRS",VLOOKUP($C$35,'Depreciation Tables'!$B$35:$AF$40,X8+1),IF($C$34="StraightLine",VLOOKUP($C$35,'Depreciation Tables'!$B$3:$AF$32,X8+1),VLOOKUP($C$35,'Depreciation Tables'!$B$43:$AF$44,X8+1)))</f>
        <v>0</v>
      </c>
      <c r="Y44" s="526">
        <f>IF($C$34="MACRS",VLOOKUP($C$35,'Depreciation Tables'!$B$35:$AF$40,Y8+1),IF($C$34="StraightLine",VLOOKUP($C$35,'Depreciation Tables'!$B$3:$AF$32,Y8+1),VLOOKUP($C$35,'Depreciation Tables'!$B$43:$AF$44,Y8+1)))</f>
        <v>0</v>
      </c>
      <c r="Z44" s="526">
        <f>IF($C$34="MACRS",VLOOKUP($C$35,'Depreciation Tables'!$B$35:$AF$40,Z8+1),IF($C$34="StraightLine",VLOOKUP($C$35,'Depreciation Tables'!$B$3:$AF$32,Z8+1),VLOOKUP($C$35,'Depreciation Tables'!$B$43:$AF$44,Z8+1)))</f>
        <v>0</v>
      </c>
      <c r="AA44" s="526">
        <f>IF($C$34="MACRS",VLOOKUP($C$35,'Depreciation Tables'!$B$35:$AF$40,AA8+1),IF($C$34="StraightLine",VLOOKUP($C$35,'Depreciation Tables'!$B$3:$AF$32,AA8+1),VLOOKUP($C$35,'Depreciation Tables'!$B$43:$AF$44,AA8+1)))</f>
        <v>0</v>
      </c>
      <c r="AB44" s="526">
        <f>IF($C$34="MACRS",VLOOKUP($C$35,'Depreciation Tables'!$B$35:$AF$40,AB8+1),IF($C$34="StraightLine",VLOOKUP($C$35,'Depreciation Tables'!$B$3:$AF$32,AB8+1),VLOOKUP($C$35,'Depreciation Tables'!$B$43:$AF$44,AB8+1)))</f>
        <v>0</v>
      </c>
      <c r="AC44" s="526">
        <f>IF($C$34="MACRS",VLOOKUP($C$35,'Depreciation Tables'!$B$35:$AF$40,AC8+1),IF($C$34="StraightLine",VLOOKUP($C$35,'Depreciation Tables'!$B$3:$AF$32,AC8+1),VLOOKUP($C$35,'Depreciation Tables'!$B$43:$AF$44,AC8+1)))</f>
        <v>0</v>
      </c>
      <c r="AD44" s="526">
        <f>IF($C$34="MACRS",VLOOKUP($C$35,'Depreciation Tables'!$B$35:$AF$40,AD8+1),IF($C$34="StraightLine",VLOOKUP($C$35,'Depreciation Tables'!$B$3:$AF$32,AD8+1),VLOOKUP($C$35,'Depreciation Tables'!$B$43:$AF$44,AD8+1)))</f>
        <v>0</v>
      </c>
      <c r="AE44" s="526">
        <f>IF($C$34="MACRS",VLOOKUP($C$35,'Depreciation Tables'!$B$35:$AF$40,AE8+1),IF($C$34="StraightLine",VLOOKUP($C$35,'Depreciation Tables'!$B$3:$AF$32,AE8+1),VLOOKUP($C$35,'Depreciation Tables'!$B$43:$AF$44,AE8+1)))</f>
        <v>0</v>
      </c>
      <c r="AF44" s="526">
        <f>IF($C$34="MACRS",VLOOKUP($C$35,'Depreciation Tables'!$B$35:$AF$40,AF8+1),IF($C$34="StraightLine",VLOOKUP($C$35,'Depreciation Tables'!$B$3:$AF$32,AF8+1),VLOOKUP($C$35,'Depreciation Tables'!$B$43:$AF$44,AF8+1)))</f>
        <v>0</v>
      </c>
      <c r="AG44" s="526">
        <f>IF($C$34="MACRS",VLOOKUP($C$35,'Depreciation Tables'!$B$35:$AF$40,AG8+1),IF($C$34="StraightLine",VLOOKUP($C$35,'Depreciation Tables'!$B$3:$AF$32,AG8+1),VLOOKUP($C$35,'Depreciation Tables'!$B$43:$AF$44,AG8+1)))</f>
        <v>0</v>
      </c>
      <c r="AH44" s="526">
        <f>IF($C$34="MACRS",VLOOKUP($C$35,'Depreciation Tables'!$B$35:$AF$40,AH8+1),IF($C$34="StraightLine",VLOOKUP($C$35,'Depreciation Tables'!$B$3:$AF$32,AH8+1),VLOOKUP($C$35,'Depreciation Tables'!$B$43:$AF$44,AH8+1)))</f>
        <v>0</v>
      </c>
      <c r="AI44" s="526">
        <f>IF($C$34="MACRS",VLOOKUP($C$35,'Depreciation Tables'!$B$35:$AF$40,AI8+1),IF($C$34="StraightLine",VLOOKUP($C$35,'Depreciation Tables'!$B$3:$AF$32,AI8+1),VLOOKUP($C$35,'Depreciation Tables'!$B$43:$AF$44,AI8+1)))</f>
        <v>0</v>
      </c>
      <c r="AJ44" s="526">
        <f>IF($C$34="MACRS",VLOOKUP($C$35,'Depreciation Tables'!$B$35:$AF$40,AJ8+1),IF($C$34="StraightLine",VLOOKUP($C$35,'Depreciation Tables'!$B$3:$AF$32,AJ8+1),VLOOKUP($C$35,'Depreciation Tables'!$B$43:$AF$44,AJ8+1)))</f>
        <v>0</v>
      </c>
      <c r="AK44" s="526">
        <f>IF($C$34="MACRS",VLOOKUP($C$35,'Depreciation Tables'!$B$35:$AF$40,AK8+1),IF($C$34="StraightLine",VLOOKUP($C$35,'Depreciation Tables'!$B$3:$AF$32,AK8+1),VLOOKUP($C$35,'Depreciation Tables'!$B$43:$AF$44,AK8+1)))</f>
        <v>0</v>
      </c>
      <c r="AL44" s="527">
        <f>IF($C$34="MACRS",VLOOKUP($C$35,'Depreciation Tables'!$B$35:$AF$40,AL8+1),IF($C$34="StraightLine",VLOOKUP($C$35,'Depreciation Tables'!$B$3:$AF$32,AL8+1),VLOOKUP($C$35,'Depreciation Tables'!$B$43:$AF$44,AL8+1)))</f>
        <v>0</v>
      </c>
      <c r="AM44" s="478"/>
      <c r="AN44" s="477"/>
    </row>
    <row r="45" spans="1:40" ht="15">
      <c r="A45" s="484" t="s">
        <v>36</v>
      </c>
      <c r="B45" s="540"/>
      <c r="C45" s="532">
        <f>PMT(C28,C33,(C26*C8))</f>
        <v>-9312650.356277285</v>
      </c>
      <c r="D45" s="544"/>
      <c r="E45" s="477"/>
      <c r="F45" s="478"/>
      <c r="G45" s="561" t="s">
        <v>30</v>
      </c>
      <c r="H45" s="538"/>
      <c r="I45" s="554">
        <f>C8</f>
        <v>225000000</v>
      </c>
      <c r="J45" s="554">
        <f>I47</f>
        <v>180000000</v>
      </c>
      <c r="K45" s="554">
        <f aca="true" t="shared" si="27" ref="K45:R45">J47</f>
        <v>108000000</v>
      </c>
      <c r="L45" s="554">
        <f t="shared" si="27"/>
        <v>64800000</v>
      </c>
      <c r="M45" s="554">
        <f t="shared" si="27"/>
        <v>38880000</v>
      </c>
      <c r="N45" s="554">
        <f t="shared" si="27"/>
        <v>12960000</v>
      </c>
      <c r="O45" s="554">
        <f t="shared" si="27"/>
        <v>0</v>
      </c>
      <c r="P45" s="554">
        <f t="shared" si="27"/>
        <v>0</v>
      </c>
      <c r="Q45" s="554">
        <f t="shared" si="27"/>
        <v>0</v>
      </c>
      <c r="R45" s="554">
        <f t="shared" si="27"/>
        <v>0</v>
      </c>
      <c r="S45" s="554">
        <f>R47</f>
        <v>0</v>
      </c>
      <c r="T45" s="554">
        <f>S47</f>
        <v>0</v>
      </c>
      <c r="U45" s="554">
        <f>T47</f>
        <v>0</v>
      </c>
      <c r="V45" s="554">
        <f>U47</f>
        <v>0</v>
      </c>
      <c r="W45" s="554">
        <f>V47</f>
        <v>0</v>
      </c>
      <c r="X45" s="554">
        <f>W47</f>
        <v>0</v>
      </c>
      <c r="Y45" s="554">
        <f>X47</f>
        <v>0</v>
      </c>
      <c r="Z45" s="554">
        <f aca="true" t="shared" si="28" ref="Z45:AG45">Y47</f>
        <v>0</v>
      </c>
      <c r="AA45" s="554">
        <f t="shared" si="28"/>
        <v>0</v>
      </c>
      <c r="AB45" s="554">
        <f t="shared" si="28"/>
        <v>0</v>
      </c>
      <c r="AC45" s="554">
        <f t="shared" si="28"/>
        <v>0</v>
      </c>
      <c r="AD45" s="554">
        <f t="shared" si="28"/>
        <v>0</v>
      </c>
      <c r="AE45" s="554">
        <f t="shared" si="28"/>
        <v>0</v>
      </c>
      <c r="AF45" s="554">
        <f t="shared" si="28"/>
        <v>0</v>
      </c>
      <c r="AG45" s="554">
        <f t="shared" si="28"/>
        <v>0</v>
      </c>
      <c r="AH45" s="554">
        <f>AG47</f>
        <v>0</v>
      </c>
      <c r="AI45" s="554">
        <f>AH47</f>
        <v>0</v>
      </c>
      <c r="AJ45" s="554">
        <f>AI47</f>
        <v>0</v>
      </c>
      <c r="AK45" s="554">
        <f>AJ47</f>
        <v>0</v>
      </c>
      <c r="AL45" s="567">
        <f>AK47</f>
        <v>0</v>
      </c>
      <c r="AM45" s="478"/>
      <c r="AN45" s="477"/>
    </row>
    <row r="46" spans="1:45" ht="15">
      <c r="A46" s="540"/>
      <c r="B46" s="540"/>
      <c r="C46" s="600"/>
      <c r="E46" s="477"/>
      <c r="F46" s="478"/>
      <c r="G46" s="561" t="s">
        <v>29</v>
      </c>
      <c r="H46" s="538"/>
      <c r="I46" s="547">
        <f>-MIN($I$45*I44,I45)</f>
        <v>-45000000</v>
      </c>
      <c r="J46" s="547">
        <f aca="true" t="shared" si="29" ref="J46:AL46">-MIN($I$45*J44,J45)</f>
        <v>-72000000</v>
      </c>
      <c r="K46" s="547">
        <f t="shared" si="29"/>
        <v>-43200000</v>
      </c>
      <c r="L46" s="547">
        <f t="shared" si="29"/>
        <v>-25920000</v>
      </c>
      <c r="M46" s="547">
        <f t="shared" si="29"/>
        <v>-25920000</v>
      </c>
      <c r="N46" s="547">
        <f t="shared" si="29"/>
        <v>-12960000</v>
      </c>
      <c r="O46" s="547">
        <f t="shared" si="29"/>
        <v>0</v>
      </c>
      <c r="P46" s="547">
        <f t="shared" si="29"/>
        <v>0</v>
      </c>
      <c r="Q46" s="547">
        <f t="shared" si="29"/>
        <v>0</v>
      </c>
      <c r="R46" s="448">
        <f t="shared" si="29"/>
        <v>0</v>
      </c>
      <c r="S46" s="448">
        <f t="shared" si="29"/>
        <v>0</v>
      </c>
      <c r="T46" s="448">
        <f t="shared" si="29"/>
        <v>0</v>
      </c>
      <c r="U46" s="448">
        <f t="shared" si="29"/>
        <v>0</v>
      </c>
      <c r="V46" s="448">
        <f t="shared" si="29"/>
        <v>0</v>
      </c>
      <c r="W46" s="448">
        <f t="shared" si="29"/>
        <v>0</v>
      </c>
      <c r="X46" s="448">
        <f t="shared" si="29"/>
        <v>0</v>
      </c>
      <c r="Y46" s="448">
        <f t="shared" si="29"/>
        <v>0</v>
      </c>
      <c r="Z46" s="547">
        <f t="shared" si="29"/>
        <v>0</v>
      </c>
      <c r="AA46" s="547">
        <f t="shared" si="29"/>
        <v>0</v>
      </c>
      <c r="AB46" s="547">
        <f t="shared" si="29"/>
        <v>0</v>
      </c>
      <c r="AC46" s="547">
        <f t="shared" si="29"/>
        <v>0</v>
      </c>
      <c r="AD46" s="547">
        <f t="shared" si="29"/>
        <v>0</v>
      </c>
      <c r="AE46" s="547">
        <f t="shared" si="29"/>
        <v>0</v>
      </c>
      <c r="AF46" s="547">
        <f t="shared" si="29"/>
        <v>0</v>
      </c>
      <c r="AG46" s="448">
        <f t="shared" si="29"/>
        <v>0</v>
      </c>
      <c r="AH46" s="448">
        <f t="shared" si="29"/>
        <v>0</v>
      </c>
      <c r="AI46" s="448">
        <f t="shared" si="29"/>
        <v>0</v>
      </c>
      <c r="AJ46" s="448">
        <f t="shared" si="29"/>
        <v>0</v>
      </c>
      <c r="AK46" s="448">
        <f t="shared" si="29"/>
        <v>0</v>
      </c>
      <c r="AL46" s="524">
        <f t="shared" si="29"/>
        <v>0</v>
      </c>
      <c r="AM46" s="478"/>
      <c r="AN46" s="477"/>
      <c r="AQ46" s="607" t="s">
        <v>153</v>
      </c>
      <c r="AR46" s="606"/>
      <c r="AS46" s="608">
        <v>0.35</v>
      </c>
    </row>
    <row r="47" spans="1:45" ht="15.75" thickBot="1">
      <c r="A47" s="531"/>
      <c r="B47" s="531"/>
      <c r="C47" s="531"/>
      <c r="E47" s="477"/>
      <c r="F47" s="478"/>
      <c r="G47" s="568" t="s">
        <v>34</v>
      </c>
      <c r="H47" s="429"/>
      <c r="I47" s="445">
        <f>SUM(I45:I46)</f>
        <v>180000000</v>
      </c>
      <c r="J47" s="445">
        <f aca="true" t="shared" si="30" ref="J47:R47">SUM(J45:J46)</f>
        <v>108000000</v>
      </c>
      <c r="K47" s="445">
        <f t="shared" si="30"/>
        <v>64800000</v>
      </c>
      <c r="L47" s="445">
        <f t="shared" si="30"/>
        <v>38880000</v>
      </c>
      <c r="M47" s="445">
        <f t="shared" si="30"/>
        <v>12960000</v>
      </c>
      <c r="N47" s="445">
        <f>SUM(N45:N46)</f>
        <v>0</v>
      </c>
      <c r="O47" s="445">
        <f t="shared" si="30"/>
        <v>0</v>
      </c>
      <c r="P47" s="445">
        <f t="shared" si="30"/>
        <v>0</v>
      </c>
      <c r="Q47" s="445">
        <f t="shared" si="30"/>
        <v>0</v>
      </c>
      <c r="R47" s="447">
        <f t="shared" si="30"/>
        <v>0</v>
      </c>
      <c r="S47" s="447">
        <f>SUM(S45:S46)</f>
        <v>0</v>
      </c>
      <c r="T47" s="447">
        <f aca="true" t="shared" si="31" ref="T47:AB47">SUM(T45:T46)</f>
        <v>0</v>
      </c>
      <c r="U47" s="447">
        <f t="shared" si="31"/>
        <v>0</v>
      </c>
      <c r="V47" s="447">
        <f t="shared" si="31"/>
        <v>0</v>
      </c>
      <c r="W47" s="447">
        <f t="shared" si="31"/>
        <v>0</v>
      </c>
      <c r="X47" s="447">
        <f t="shared" si="31"/>
        <v>0</v>
      </c>
      <c r="Y47" s="447">
        <f t="shared" si="31"/>
        <v>0</v>
      </c>
      <c r="Z47" s="445">
        <f t="shared" si="31"/>
        <v>0</v>
      </c>
      <c r="AA47" s="445">
        <f t="shared" si="31"/>
        <v>0</v>
      </c>
      <c r="AB47" s="445">
        <f t="shared" si="31"/>
        <v>0</v>
      </c>
      <c r="AC47" s="445">
        <f>SUM(AC45:AC46)</f>
        <v>0</v>
      </c>
      <c r="AD47" s="445">
        <f>SUM(AD45:AD46)</f>
        <v>0</v>
      </c>
      <c r="AE47" s="445">
        <f>SUM(AE45:AE46)</f>
        <v>0</v>
      </c>
      <c r="AF47" s="445">
        <f>SUM(AF45:AF46)</f>
        <v>0</v>
      </c>
      <c r="AG47" s="447">
        <f>SUM(AG45:AG46)</f>
        <v>0</v>
      </c>
      <c r="AH47" s="447">
        <f>SUM(AH45:AH46)</f>
        <v>0</v>
      </c>
      <c r="AI47" s="447">
        <f>SUM(AI45:AI46)</f>
        <v>0</v>
      </c>
      <c r="AJ47" s="447">
        <f>SUM(AJ45:AJ46)</f>
        <v>0</v>
      </c>
      <c r="AK47" s="447">
        <f>SUM(AK45:AK46)</f>
        <v>0</v>
      </c>
      <c r="AL47" s="523">
        <f>SUM(AL45:AL46)</f>
        <v>0</v>
      </c>
      <c r="AM47" s="478"/>
      <c r="AN47" s="477"/>
      <c r="AQ47" s="607" t="s">
        <v>154</v>
      </c>
      <c r="AR47" s="606"/>
      <c r="AS47" s="608">
        <v>0.071</v>
      </c>
    </row>
    <row r="48" spans="1:45" ht="18.75" thickBot="1" thickTop="1">
      <c r="A48" s="588" t="s">
        <v>42</v>
      </c>
      <c r="B48" s="589"/>
      <c r="C48" s="590"/>
      <c r="E48" s="477"/>
      <c r="F48" s="478"/>
      <c r="G48" s="458"/>
      <c r="H48" s="459"/>
      <c r="I48" s="556"/>
      <c r="J48" s="459"/>
      <c r="K48" s="459"/>
      <c r="L48" s="459"/>
      <c r="M48" s="459"/>
      <c r="N48" s="459"/>
      <c r="O48" s="459"/>
      <c r="P48" s="459"/>
      <c r="Q48" s="459"/>
      <c r="R48" s="459"/>
      <c r="S48" s="489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69"/>
      <c r="AM48" s="478"/>
      <c r="AN48" s="477"/>
      <c r="AQ48" s="607" t="s">
        <v>155</v>
      </c>
      <c r="AR48" s="606"/>
      <c r="AS48" s="609">
        <v>0.0885</v>
      </c>
    </row>
    <row r="49" spans="1:45" ht="18" thickBot="1">
      <c r="A49" s="591" t="s">
        <v>37</v>
      </c>
      <c r="B49" s="592"/>
      <c r="C49" s="597">
        <f ca="1">SUM(I40:OFFSET($H$40,0,$C$33))-($C$8*C27)</f>
        <v>-45614576.8315412</v>
      </c>
      <c r="E49" s="477"/>
      <c r="F49" s="478"/>
      <c r="G49" s="497" t="s">
        <v>31</v>
      </c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3"/>
      <c r="AM49" s="478"/>
      <c r="AN49" s="477"/>
      <c r="AQ49" s="607" t="s">
        <v>14</v>
      </c>
      <c r="AR49" s="606"/>
      <c r="AS49" s="608">
        <f>AS46+(1-AS46)*(AS47+AS48)</f>
        <v>0.45367499999999994</v>
      </c>
    </row>
    <row r="50" spans="1:45" ht="18" thickBot="1">
      <c r="A50" s="593" t="s">
        <v>105</v>
      </c>
      <c r="B50" s="586"/>
      <c r="C50" s="594"/>
      <c r="E50" s="477"/>
      <c r="F50" s="478"/>
      <c r="G50" s="564" t="s">
        <v>30</v>
      </c>
      <c r="H50" s="565"/>
      <c r="I50" s="461">
        <f>IF(I8&gt;C33,0,C26*C8)</f>
        <v>112500000</v>
      </c>
      <c r="J50" s="462">
        <f aca="true" t="shared" si="32" ref="J50:AL50">IF(J8&gt;$C$33,0,I53)</f>
        <v>109228599.64372271</v>
      </c>
      <c r="K50" s="462">
        <f t="shared" si="32"/>
        <v>105781525.08831334</v>
      </c>
      <c r="L50" s="462">
        <f t="shared" si="32"/>
        <v>102149342.62927848</v>
      </c>
      <c r="M50" s="462">
        <f t="shared" si="32"/>
        <v>98322111.97219345</v>
      </c>
      <c r="N50" s="462">
        <f t="shared" si="32"/>
        <v>94289359.02882296</v>
      </c>
      <c r="O50" s="462">
        <f t="shared" si="32"/>
        <v>90040047.25239347</v>
      </c>
      <c r="P50" s="462">
        <f t="shared" si="32"/>
        <v>85562547.43356971</v>
      </c>
      <c r="Q50" s="462">
        <f t="shared" si="32"/>
        <v>80844605.87447512</v>
      </c>
      <c r="R50" s="462">
        <f t="shared" si="32"/>
        <v>75873310.85365716</v>
      </c>
      <c r="S50" s="462">
        <f t="shared" si="32"/>
        <v>70635057.29022126</v>
      </c>
      <c r="T50" s="462">
        <f t="shared" si="32"/>
        <v>65115509.51042885</v>
      </c>
      <c r="U50" s="462">
        <f t="shared" si="32"/>
        <v>59299562.0148616</v>
      </c>
      <c r="V50" s="462">
        <f t="shared" si="32"/>
        <v>53171298.13878238</v>
      </c>
      <c r="W50" s="462">
        <f t="shared" si="32"/>
        <v>46713946.49255771</v>
      </c>
      <c r="X50" s="462">
        <f t="shared" si="32"/>
        <v>39909835.06293078</v>
      </c>
      <c r="Y50" s="462">
        <f t="shared" si="32"/>
        <v>32740342.849532876</v>
      </c>
      <c r="Z50" s="462">
        <f t="shared" si="32"/>
        <v>25185848.904275507</v>
      </c>
      <c r="AA50" s="462">
        <f t="shared" si="32"/>
        <v>17225678.634157814</v>
      </c>
      <c r="AB50" s="462">
        <f t="shared" si="32"/>
        <v>8838047.220534803</v>
      </c>
      <c r="AC50" s="462">
        <f t="shared" si="32"/>
        <v>0</v>
      </c>
      <c r="AD50" s="462">
        <f t="shared" si="32"/>
        <v>0</v>
      </c>
      <c r="AE50" s="462">
        <f t="shared" si="32"/>
        <v>0</v>
      </c>
      <c r="AF50" s="462">
        <f t="shared" si="32"/>
        <v>0</v>
      </c>
      <c r="AG50" s="462">
        <f t="shared" si="32"/>
        <v>0</v>
      </c>
      <c r="AH50" s="462">
        <f t="shared" si="32"/>
        <v>0</v>
      </c>
      <c r="AI50" s="462">
        <f t="shared" si="32"/>
        <v>0</v>
      </c>
      <c r="AJ50" s="462">
        <f t="shared" si="32"/>
        <v>0</v>
      </c>
      <c r="AK50" s="462">
        <f t="shared" si="32"/>
        <v>0</v>
      </c>
      <c r="AL50" s="522">
        <f t="shared" si="32"/>
        <v>0</v>
      </c>
      <c r="AM50" s="478"/>
      <c r="AN50" s="477"/>
      <c r="AS50" s="608">
        <f>(1-AS46)*(AS47+AS48)</f>
        <v>0.10367499999999999</v>
      </c>
    </row>
    <row r="51" spans="1:40" ht="18" thickBot="1">
      <c r="A51" s="595" t="s">
        <v>104</v>
      </c>
      <c r="B51" s="596"/>
      <c r="C51" s="598">
        <f ca="1">SUM(I41:OFFSET($H$41,0,$C$33))-($C$8*C27)</f>
        <v>-20132116.840291128</v>
      </c>
      <c r="E51" s="477"/>
      <c r="F51" s="478"/>
      <c r="G51" s="560" t="s">
        <v>32</v>
      </c>
      <c r="H51" s="539"/>
      <c r="I51" s="544">
        <f aca="true" t="shared" si="33" ref="I51:AL51">IF(I8&gt;$C$33,0,-I50*$C$28)</f>
        <v>-6041250</v>
      </c>
      <c r="J51" s="544">
        <f t="shared" si="33"/>
        <v>-5865575.80086791</v>
      </c>
      <c r="K51" s="544">
        <f t="shared" si="33"/>
        <v>-5680467.897242426</v>
      </c>
      <c r="L51" s="544">
        <f t="shared" si="33"/>
        <v>-5485419.699192254</v>
      </c>
      <c r="M51" s="544">
        <f t="shared" si="33"/>
        <v>-5279897.412906788</v>
      </c>
      <c r="N51" s="544">
        <f t="shared" si="33"/>
        <v>-5063338.579847793</v>
      </c>
      <c r="O51" s="544">
        <f t="shared" si="33"/>
        <v>-4835150.537453529</v>
      </c>
      <c r="P51" s="544">
        <f t="shared" si="33"/>
        <v>-4594708.797182693</v>
      </c>
      <c r="Q51" s="544">
        <f t="shared" si="33"/>
        <v>-4341355.335459314</v>
      </c>
      <c r="R51" s="544">
        <f t="shared" si="33"/>
        <v>-4074396.7928413893</v>
      </c>
      <c r="S51" s="544">
        <f t="shared" si="33"/>
        <v>-3793102.5764848813</v>
      </c>
      <c r="T51" s="544">
        <f t="shared" si="33"/>
        <v>-3496702.8607100295</v>
      </c>
      <c r="U51" s="544">
        <f t="shared" si="33"/>
        <v>-3184386.4801980676</v>
      </c>
      <c r="V51" s="544">
        <f t="shared" si="33"/>
        <v>-2855298.7100526136</v>
      </c>
      <c r="W51" s="544">
        <f t="shared" si="33"/>
        <v>-2508538.926650349</v>
      </c>
      <c r="X51" s="544">
        <f t="shared" si="33"/>
        <v>-2143158.1428793827</v>
      </c>
      <c r="Y51" s="544">
        <f t="shared" si="33"/>
        <v>-1758156.4110199155</v>
      </c>
      <c r="Z51" s="544">
        <f t="shared" si="33"/>
        <v>-1352480.0861595946</v>
      </c>
      <c r="AA51" s="544">
        <f t="shared" si="33"/>
        <v>-925018.9426542745</v>
      </c>
      <c r="AB51" s="544">
        <f t="shared" si="33"/>
        <v>-474603.13574271894</v>
      </c>
      <c r="AC51" s="544">
        <f t="shared" si="33"/>
        <v>0</v>
      </c>
      <c r="AD51" s="544">
        <f t="shared" si="33"/>
        <v>0</v>
      </c>
      <c r="AE51" s="544">
        <f t="shared" si="33"/>
        <v>0</v>
      </c>
      <c r="AF51" s="544">
        <f t="shared" si="33"/>
        <v>0</v>
      </c>
      <c r="AG51" s="544">
        <f t="shared" si="33"/>
        <v>0</v>
      </c>
      <c r="AH51" s="544">
        <f t="shared" si="33"/>
        <v>0</v>
      </c>
      <c r="AI51" s="544">
        <f t="shared" si="33"/>
        <v>0</v>
      </c>
      <c r="AJ51" s="544">
        <f t="shared" si="33"/>
        <v>0</v>
      </c>
      <c r="AK51" s="544">
        <f t="shared" si="33"/>
        <v>0</v>
      </c>
      <c r="AL51" s="475">
        <f t="shared" si="33"/>
        <v>0</v>
      </c>
      <c r="AM51" s="478"/>
      <c r="AN51" s="477"/>
    </row>
    <row r="52" spans="5:40" ht="15">
      <c r="E52" s="477"/>
      <c r="F52" s="478"/>
      <c r="G52" s="560" t="s">
        <v>33</v>
      </c>
      <c r="H52" s="539"/>
      <c r="I52" s="544">
        <f aca="true" t="shared" si="34" ref="I52:AL52">IF(I8&gt;$C$33,0,$C$45-I51)</f>
        <v>-3271400.356277285</v>
      </c>
      <c r="J52" s="544">
        <f t="shared" si="34"/>
        <v>-3447074.5554093756</v>
      </c>
      <c r="K52" s="544">
        <f t="shared" si="34"/>
        <v>-3632182.459034859</v>
      </c>
      <c r="L52" s="544">
        <f t="shared" si="34"/>
        <v>-3827230.6570850313</v>
      </c>
      <c r="M52" s="544">
        <f t="shared" si="34"/>
        <v>-4032752.943370497</v>
      </c>
      <c r="N52" s="544">
        <f t="shared" si="34"/>
        <v>-4249311.776429492</v>
      </c>
      <c r="O52" s="544">
        <f t="shared" si="34"/>
        <v>-4477499.818823756</v>
      </c>
      <c r="P52" s="544">
        <f t="shared" si="34"/>
        <v>-4717941.559094592</v>
      </c>
      <c r="Q52" s="544">
        <f t="shared" si="34"/>
        <v>-4971295.020817971</v>
      </c>
      <c r="R52" s="544">
        <f t="shared" si="34"/>
        <v>-5238253.563435895</v>
      </c>
      <c r="S52" s="544">
        <f t="shared" si="34"/>
        <v>-5519547.779792404</v>
      </c>
      <c r="T52" s="544">
        <f t="shared" si="34"/>
        <v>-5815947.495567256</v>
      </c>
      <c r="U52" s="544">
        <f t="shared" si="34"/>
        <v>-6128263.8760792175</v>
      </c>
      <c r="V52" s="544">
        <f t="shared" si="34"/>
        <v>-6457351.646224672</v>
      </c>
      <c r="W52" s="544">
        <f t="shared" si="34"/>
        <v>-6804111.429626936</v>
      </c>
      <c r="X52" s="544">
        <f t="shared" si="34"/>
        <v>-7169492.213397902</v>
      </c>
      <c r="Y52" s="544">
        <f t="shared" si="34"/>
        <v>-7554493.945257369</v>
      </c>
      <c r="Z52" s="544">
        <f t="shared" si="34"/>
        <v>-7960170.270117691</v>
      </c>
      <c r="AA52" s="544">
        <f t="shared" si="34"/>
        <v>-8387631.413623011</v>
      </c>
      <c r="AB52" s="544">
        <f t="shared" si="34"/>
        <v>-8838047.220534567</v>
      </c>
      <c r="AC52" s="544">
        <f t="shared" si="34"/>
        <v>0</v>
      </c>
      <c r="AD52" s="544">
        <f t="shared" si="34"/>
        <v>0</v>
      </c>
      <c r="AE52" s="544">
        <f t="shared" si="34"/>
        <v>0</v>
      </c>
      <c r="AF52" s="544">
        <f t="shared" si="34"/>
        <v>0</v>
      </c>
      <c r="AG52" s="544">
        <f t="shared" si="34"/>
        <v>0</v>
      </c>
      <c r="AH52" s="544">
        <f t="shared" si="34"/>
        <v>0</v>
      </c>
      <c r="AI52" s="544">
        <f t="shared" si="34"/>
        <v>0</v>
      </c>
      <c r="AJ52" s="544">
        <f t="shared" si="34"/>
        <v>0</v>
      </c>
      <c r="AK52" s="544">
        <f t="shared" si="34"/>
        <v>0</v>
      </c>
      <c r="AL52" s="475">
        <f t="shared" si="34"/>
        <v>0</v>
      </c>
      <c r="AM52" s="478"/>
      <c r="AN52" s="477"/>
    </row>
    <row r="53" spans="5:40" ht="15.75" thickBot="1">
      <c r="E53" s="477"/>
      <c r="F53" s="478"/>
      <c r="G53" s="566" t="s">
        <v>34</v>
      </c>
      <c r="H53" s="534"/>
      <c r="I53" s="445">
        <f>I50+I52</f>
        <v>109228599.64372271</v>
      </c>
      <c r="J53" s="446">
        <f>J50+J52</f>
        <v>105781525.08831334</v>
      </c>
      <c r="K53" s="446">
        <f aca="true" t="shared" si="35" ref="K53:R53">K50+K52</f>
        <v>102149342.62927848</v>
      </c>
      <c r="L53" s="446">
        <f t="shared" si="35"/>
        <v>98322111.97219345</v>
      </c>
      <c r="M53" s="446">
        <f t="shared" si="35"/>
        <v>94289359.02882296</v>
      </c>
      <c r="N53" s="446">
        <f t="shared" si="35"/>
        <v>90040047.25239347</v>
      </c>
      <c r="O53" s="446">
        <f t="shared" si="35"/>
        <v>85562547.43356971</v>
      </c>
      <c r="P53" s="446">
        <f t="shared" si="35"/>
        <v>80844605.87447512</v>
      </c>
      <c r="Q53" s="446">
        <f t="shared" si="35"/>
        <v>75873310.85365716</v>
      </c>
      <c r="R53" s="446">
        <f t="shared" si="35"/>
        <v>70635057.29022126</v>
      </c>
      <c r="S53" s="446">
        <f>S50+S52</f>
        <v>65115509.51042885</v>
      </c>
      <c r="T53" s="446">
        <f>T50+T52</f>
        <v>59299562.0148616</v>
      </c>
      <c r="U53" s="446">
        <f>U50+U52</f>
        <v>53171298.13878238</v>
      </c>
      <c r="V53" s="446">
        <f>V50+V52</f>
        <v>46713946.49255771</v>
      </c>
      <c r="W53" s="446">
        <f>W50+W52</f>
        <v>39909835.06293078</v>
      </c>
      <c r="X53" s="446">
        <f>X50+X52</f>
        <v>32740342.849532876</v>
      </c>
      <c r="Y53" s="446">
        <f>Y50+Y52</f>
        <v>25185848.904275507</v>
      </c>
      <c r="Z53" s="446">
        <f aca="true" t="shared" si="36" ref="Z53:AG53">Z50+Z52</f>
        <v>17225678.634157814</v>
      </c>
      <c r="AA53" s="446">
        <f t="shared" si="36"/>
        <v>8838047.220534803</v>
      </c>
      <c r="AB53" s="446">
        <f t="shared" si="36"/>
        <v>2.3655593395233154E-07</v>
      </c>
      <c r="AC53" s="446">
        <f t="shared" si="36"/>
        <v>0</v>
      </c>
      <c r="AD53" s="446">
        <f t="shared" si="36"/>
        <v>0</v>
      </c>
      <c r="AE53" s="446">
        <f t="shared" si="36"/>
        <v>0</v>
      </c>
      <c r="AF53" s="446">
        <f t="shared" si="36"/>
        <v>0</v>
      </c>
      <c r="AG53" s="446">
        <f t="shared" si="36"/>
        <v>0</v>
      </c>
      <c r="AH53" s="446">
        <f>AH50+AH52</f>
        <v>0</v>
      </c>
      <c r="AI53" s="446">
        <f>AI50+AI52</f>
        <v>0</v>
      </c>
      <c r="AJ53" s="446">
        <f>AJ50+AJ52</f>
        <v>0</v>
      </c>
      <c r="AK53" s="446">
        <f>AK50+AK52</f>
        <v>0</v>
      </c>
      <c r="AL53" s="521">
        <f>AL50+AL52</f>
        <v>0</v>
      </c>
      <c r="AM53" s="478"/>
      <c r="AN53" s="477"/>
    </row>
    <row r="54" spans="5:40" ht="9.75" customHeight="1" thickBot="1" thickTop="1">
      <c r="E54" s="477"/>
      <c r="F54" s="478"/>
      <c r="G54" s="458"/>
      <c r="H54" s="459"/>
      <c r="I54" s="556"/>
      <c r="J54" s="459"/>
      <c r="K54" s="459"/>
      <c r="L54" s="459"/>
      <c r="M54" s="459"/>
      <c r="N54" s="459"/>
      <c r="O54" s="459"/>
      <c r="P54" s="459"/>
      <c r="Q54" s="459"/>
      <c r="R54" s="459"/>
      <c r="S54" s="501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60"/>
      <c r="AM54" s="478"/>
      <c r="AN54" s="477"/>
    </row>
    <row r="55" spans="2:40" ht="5.25" customHeight="1">
      <c r="B55" s="496" t="s">
        <v>77</v>
      </c>
      <c r="E55" s="477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7"/>
    </row>
    <row r="56" spans="5:40" ht="15"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</row>
    <row r="57" spans="1:3" ht="14.25">
      <c r="A57" s="611" t="s">
        <v>156</v>
      </c>
      <c r="B57" s="610"/>
      <c r="C57" s="612">
        <f>C51/C9/1000</f>
        <v>-201.32116840291127</v>
      </c>
    </row>
    <row r="60" spans="7:19" ht="14.25">
      <c r="G60" s="530"/>
      <c r="H60" s="492"/>
      <c r="I60" s="487"/>
      <c r="S60" s="604"/>
    </row>
    <row r="61" ht="14.25">
      <c r="R61" s="604"/>
    </row>
    <row r="62" spans="9:38" ht="14.25">
      <c r="I62" s="604"/>
      <c r="AI62" s="530"/>
      <c r="AJ62" s="530"/>
      <c r="AK62" s="530"/>
      <c r="AL62" s="530"/>
    </row>
    <row r="63" spans="1:10" ht="18">
      <c r="A63" s="520"/>
      <c r="I63" s="599"/>
      <c r="J63" s="604"/>
    </row>
    <row r="64" spans="1:9" ht="18">
      <c r="A64" s="520"/>
      <c r="I64" s="599"/>
    </row>
    <row r="65" spans="9:18" ht="14.25">
      <c r="I65" s="580"/>
      <c r="J65" s="580"/>
      <c r="K65" s="580"/>
      <c r="L65" s="580"/>
      <c r="M65" s="580"/>
      <c r="N65" s="581"/>
      <c r="O65" s="581"/>
      <c r="P65" s="581"/>
      <c r="Q65" s="581"/>
      <c r="R65" s="581"/>
    </row>
    <row r="66" spans="15:18" ht="14.25">
      <c r="O66" s="546"/>
      <c r="P66" s="546"/>
      <c r="Q66" s="546"/>
      <c r="R66" s="546"/>
    </row>
    <row r="67" spans="9:13" ht="14.25">
      <c r="I67" s="583"/>
      <c r="J67" s="583"/>
      <c r="K67" s="583"/>
      <c r="L67" s="583"/>
      <c r="M67" s="583"/>
    </row>
  </sheetData>
  <sheetProtection/>
  <mergeCells count="1">
    <mergeCell ref="A4:C4"/>
  </mergeCells>
  <conditionalFormatting sqref="A65:A65530 A56:A62 A48:A54 C22 A47:C47 B23:C46 B48:C65530 A46 G44:AL48 G50:AL54 G57:AL65529 AM57:AM65528 F58:F65528 D7:D65523 AN57:AN65527 A4:A5 D4:D5 B5:C5 G8:AL10 AO1:IV65536 C19:C20 E58:E65527 B18:B22 E57:F57 B7:C17 G12:AL42">
    <cfRule type="cellIs" priority="7" dxfId="28" operator="lessThan">
      <formula>0</formula>
    </cfRule>
  </conditionalFormatting>
  <conditionalFormatting sqref="C31">
    <cfRule type="cellIs" priority="6" dxfId="28" operator="lessThan">
      <formula>0</formula>
    </cfRule>
  </conditionalFormatting>
  <conditionalFormatting sqref="C28:C29">
    <cfRule type="cellIs" priority="5" dxfId="28" operator="lessThan">
      <formula>0</formula>
    </cfRule>
  </conditionalFormatting>
  <conditionalFormatting sqref="G21">
    <cfRule type="cellIs" priority="4" dxfId="28" operator="lessThan">
      <formula>0</formula>
    </cfRule>
  </conditionalFormatting>
  <conditionalFormatting sqref="AQ46:AQ49">
    <cfRule type="cellIs" priority="3" dxfId="28" operator="lessThan">
      <formula>0</formula>
    </cfRule>
  </conditionalFormatting>
  <conditionalFormatting sqref="AQ46:AS50">
    <cfRule type="cellIs" priority="2" dxfId="28" operator="lessThan">
      <formula>0</formula>
    </cfRule>
  </conditionalFormatting>
  <conditionalFormatting sqref="A57:C57">
    <cfRule type="cellIs" priority="1" dxfId="28" operator="lessThan">
      <formula>0</formula>
    </cfRule>
  </conditionalFormatting>
  <dataValidations count="8">
    <dataValidation type="list" allowBlank="1" showInputMessage="1" showErrorMessage="1" sqref="C23">
      <formula1>"-10, -9, -8, -7, -6, -5, -4, -3, -2, -1, 0, 1, 2, 3, 4, 5, 6, 7, 8, 9, 10"</formula1>
    </dataValidation>
    <dataValidation type="list" allowBlank="1" showInputMessage="1" showErrorMessage="1" sqref="C33">
      <formula1>"1, 2, 3, 4, 5, 6, 7, 8, 9, 10, 11, 12, 13, 14, 15,16,17,18,19,20,21,22,23,24,25,26,27,28,29,30"</formula1>
    </dataValidation>
    <dataValidation type="list" allowBlank="1" showInputMessage="1" showErrorMessage="1" sqref="C34">
      <formula1>$AP$7:$AR$7</formula1>
    </dataValidation>
    <dataValidation type="list" allowBlank="1" showInputMessage="1" showErrorMessage="1" sqref="C35">
      <formula1>INDIRECT($C$34)</formula1>
    </dataValidation>
    <dataValidation type="list" allowBlank="1" showInputMessage="1" showErrorMessage="1" sqref="C46 C24">
      <formula1>"YES, NO"</formula1>
    </dataValidation>
    <dataValidation type="list" allowBlank="1" showInputMessage="1" showErrorMessage="1" sqref="M63">
      <formula1>$O$63:$O$65</formula1>
    </dataValidation>
    <dataValidation type="list" allowBlank="1" showInputMessage="1" showErrorMessage="1" sqref="D26">
      <formula1>"1, 2, 3, 4, 5"</formula1>
    </dataValidation>
    <dataValidation type="list" allowBlank="1" showInputMessage="1" showErrorMessage="1" sqref="C15">
      <formula1>"0,15,25"</formula1>
    </dataValidation>
  </dataValidations>
  <printOptions/>
  <pageMargins left="0.7" right="0.7" top="0.75" bottom="0.75" header="0.3" footer="0.3"/>
  <pageSetup horizontalDpi="600" verticalDpi="600" orientation="portrait" r:id="rId1"/>
  <headerFooter>
    <oddFooter>&amp;RPrepared by Julia Popova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5"/>
  <sheetViews>
    <sheetView zoomScale="70" zoomScaleNormal="70" zoomScalePageLayoutView="0" workbookViewId="0" topLeftCell="A1">
      <pane xSplit="7" ySplit="7" topLeftCell="H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9" sqref="C9"/>
    </sheetView>
  </sheetViews>
  <sheetFormatPr defaultColWidth="9.140625" defaultRowHeight="15"/>
  <cols>
    <col min="1" max="1" width="38.421875" style="252" customWidth="1"/>
    <col min="2" max="2" width="12.421875" style="252" bestFit="1" customWidth="1"/>
    <col min="3" max="3" width="20.00390625" style="252" bestFit="1" customWidth="1"/>
    <col min="4" max="4" width="2.7109375" style="262" customWidth="1"/>
    <col min="5" max="5" width="3.00390625" style="252" customWidth="1"/>
    <col min="6" max="6" width="1.57421875" style="252" customWidth="1"/>
    <col min="7" max="7" width="51.00390625" style="252" bestFit="1" customWidth="1"/>
    <col min="8" max="8" width="11.140625" style="252" bestFit="1" customWidth="1"/>
    <col min="9" max="9" width="19.140625" style="252" bestFit="1" customWidth="1"/>
    <col min="10" max="10" width="17.7109375" style="252" bestFit="1" customWidth="1"/>
    <col min="11" max="12" width="17.28125" style="252" bestFit="1" customWidth="1"/>
    <col min="13" max="13" width="16.7109375" style="252" bestFit="1" customWidth="1"/>
    <col min="14" max="16" width="17.140625" style="252" bestFit="1" customWidth="1"/>
    <col min="17" max="19" width="16.7109375" style="252" bestFit="1" customWidth="1"/>
    <col min="20" max="21" width="17.140625" style="252" bestFit="1" customWidth="1"/>
    <col min="22" max="23" width="16.7109375" style="252" bestFit="1" customWidth="1"/>
    <col min="24" max="25" width="17.140625" style="252" bestFit="1" customWidth="1"/>
    <col min="26" max="26" width="16.7109375" style="252" bestFit="1" customWidth="1"/>
    <col min="27" max="27" width="17.421875" style="252" bestFit="1" customWidth="1"/>
    <col min="28" max="28" width="16.7109375" style="252" bestFit="1" customWidth="1"/>
    <col min="29" max="36" width="8.8515625" style="252" bestFit="1" customWidth="1"/>
    <col min="37" max="37" width="8.8515625" style="252" customWidth="1"/>
    <col min="38" max="38" width="8.8515625" style="252" bestFit="1" customWidth="1"/>
    <col min="39" max="40" width="1.421875" style="252" customWidth="1"/>
    <col min="41" max="41" width="9.140625" style="252" customWidth="1"/>
    <col min="42" max="42" width="8.7109375" style="252" bestFit="1" customWidth="1"/>
    <col min="43" max="43" width="14.8515625" style="252" bestFit="1" customWidth="1"/>
    <col min="44" max="16384" width="9.140625" style="252" customWidth="1"/>
  </cols>
  <sheetData>
    <row r="1" ht="23.25">
      <c r="A1" s="410" t="s">
        <v>124</v>
      </c>
    </row>
    <row r="2" ht="23.25">
      <c r="A2" s="410" t="s">
        <v>122</v>
      </c>
    </row>
    <row r="3" ht="23.25">
      <c r="A3" s="410" t="s">
        <v>123</v>
      </c>
    </row>
    <row r="4" spans="1:3" ht="21">
      <c r="A4" s="613" t="s">
        <v>125</v>
      </c>
      <c r="B4" s="614"/>
      <c r="C4" s="614"/>
    </row>
    <row r="5" spans="1:40" ht="15">
      <c r="A5" s="300"/>
      <c r="B5" s="300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</row>
    <row r="6" spans="5:40" ht="5.25" customHeight="1">
      <c r="E6" s="318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8"/>
    </row>
    <row r="7" spans="1:44" ht="15.75" thickBot="1">
      <c r="A7" s="320" t="s">
        <v>0</v>
      </c>
      <c r="B7" s="253"/>
      <c r="E7" s="318"/>
      <c r="F7" s="319"/>
      <c r="G7" s="322" t="s">
        <v>64</v>
      </c>
      <c r="H7" s="323">
        <v>42491</v>
      </c>
      <c r="I7" s="324">
        <v>42856</v>
      </c>
      <c r="J7" s="324">
        <v>43221</v>
      </c>
      <c r="K7" s="324">
        <v>43586</v>
      </c>
      <c r="L7" s="324">
        <v>43952</v>
      </c>
      <c r="M7" s="324">
        <v>44317</v>
      </c>
      <c r="N7" s="324">
        <v>44682</v>
      </c>
      <c r="O7" s="324">
        <v>45047</v>
      </c>
      <c r="P7" s="324">
        <v>45413</v>
      </c>
      <c r="Q7" s="324">
        <v>45778</v>
      </c>
      <c r="R7" s="324">
        <v>46143</v>
      </c>
      <c r="S7" s="324">
        <v>46508</v>
      </c>
      <c r="T7" s="324">
        <v>46874</v>
      </c>
      <c r="U7" s="324">
        <v>47239</v>
      </c>
      <c r="V7" s="324">
        <v>47604</v>
      </c>
      <c r="W7" s="324">
        <v>47969</v>
      </c>
      <c r="X7" s="324">
        <v>48335</v>
      </c>
      <c r="Y7" s="324">
        <v>48700</v>
      </c>
      <c r="Z7" s="324">
        <v>49065</v>
      </c>
      <c r="AA7" s="324">
        <v>49430</v>
      </c>
      <c r="AB7" s="324">
        <v>49796</v>
      </c>
      <c r="AC7" s="324">
        <v>50161</v>
      </c>
      <c r="AD7" s="324">
        <v>50526</v>
      </c>
      <c r="AE7" s="324">
        <v>50891</v>
      </c>
      <c r="AF7" s="324">
        <v>51257</v>
      </c>
      <c r="AG7" s="324">
        <v>51622</v>
      </c>
      <c r="AH7" s="324">
        <v>51987</v>
      </c>
      <c r="AI7" s="324">
        <v>52352</v>
      </c>
      <c r="AJ7" s="324">
        <v>52718</v>
      </c>
      <c r="AK7" s="324">
        <v>53083</v>
      </c>
      <c r="AL7" s="324">
        <v>53448</v>
      </c>
      <c r="AM7" s="319"/>
      <c r="AN7" s="318"/>
      <c r="AP7" s="270" t="s">
        <v>45</v>
      </c>
      <c r="AQ7" s="270" t="s">
        <v>46</v>
      </c>
      <c r="AR7" s="270" t="s">
        <v>94</v>
      </c>
    </row>
    <row r="8" spans="1:44" ht="15">
      <c r="A8" s="325" t="s">
        <v>71</v>
      </c>
      <c r="B8" s="329" t="s">
        <v>74</v>
      </c>
      <c r="C8" s="306">
        <f>3000*1.5*C9*1000</f>
        <v>450000000</v>
      </c>
      <c r="D8" s="264"/>
      <c r="E8" s="318"/>
      <c r="F8" s="319"/>
      <c r="G8" s="400" t="s">
        <v>16</v>
      </c>
      <c r="H8" s="401"/>
      <c r="I8" s="402">
        <v>1</v>
      </c>
      <c r="J8" s="402">
        <v>2</v>
      </c>
      <c r="K8" s="402">
        <v>3</v>
      </c>
      <c r="L8" s="402">
        <v>4</v>
      </c>
      <c r="M8" s="402">
        <v>5</v>
      </c>
      <c r="N8" s="402">
        <v>6</v>
      </c>
      <c r="O8" s="402">
        <v>7</v>
      </c>
      <c r="P8" s="402">
        <v>8</v>
      </c>
      <c r="Q8" s="402">
        <v>9</v>
      </c>
      <c r="R8" s="402">
        <v>10</v>
      </c>
      <c r="S8" s="402">
        <v>11</v>
      </c>
      <c r="T8" s="402">
        <v>12</v>
      </c>
      <c r="U8" s="402">
        <v>13</v>
      </c>
      <c r="V8" s="402">
        <v>14</v>
      </c>
      <c r="W8" s="402">
        <v>15</v>
      </c>
      <c r="X8" s="402">
        <v>16</v>
      </c>
      <c r="Y8" s="402">
        <v>17</v>
      </c>
      <c r="Z8" s="402">
        <v>18</v>
      </c>
      <c r="AA8" s="402">
        <v>19</v>
      </c>
      <c r="AB8" s="402">
        <v>20</v>
      </c>
      <c r="AC8" s="402">
        <v>21</v>
      </c>
      <c r="AD8" s="402">
        <v>22</v>
      </c>
      <c r="AE8" s="402">
        <v>23</v>
      </c>
      <c r="AF8" s="402">
        <v>24</v>
      </c>
      <c r="AG8" s="402">
        <v>25</v>
      </c>
      <c r="AH8" s="402">
        <v>26</v>
      </c>
      <c r="AI8" s="402">
        <v>27</v>
      </c>
      <c r="AJ8" s="402">
        <v>28</v>
      </c>
      <c r="AK8" s="402">
        <v>29</v>
      </c>
      <c r="AL8" s="403">
        <v>30</v>
      </c>
      <c r="AM8" s="319"/>
      <c r="AN8" s="318"/>
      <c r="AP8" s="270">
        <v>3</v>
      </c>
      <c r="AQ8" s="270">
        <v>1</v>
      </c>
      <c r="AR8" s="270">
        <v>5</v>
      </c>
    </row>
    <row r="9" spans="1:44" ht="15">
      <c r="A9" s="321" t="s">
        <v>63</v>
      </c>
      <c r="B9" s="329" t="s">
        <v>68</v>
      </c>
      <c r="C9" s="301">
        <v>100</v>
      </c>
      <c r="E9" s="318"/>
      <c r="F9" s="319"/>
      <c r="G9" s="391" t="s">
        <v>17</v>
      </c>
      <c r="H9" s="378"/>
      <c r="I9" s="388">
        <f>(1+$C$31)^(I8-1)</f>
        <v>1</v>
      </c>
      <c r="J9" s="388">
        <f aca="true" t="shared" si="0" ref="J9:AL9">(1+$C$31)^(J8-1)</f>
        <v>1.023</v>
      </c>
      <c r="K9" s="388">
        <f t="shared" si="0"/>
        <v>1.0465289999999998</v>
      </c>
      <c r="L9" s="388">
        <f t="shared" si="0"/>
        <v>1.0705991669999997</v>
      </c>
      <c r="M9" s="388">
        <f t="shared" si="0"/>
        <v>1.0952229478409996</v>
      </c>
      <c r="N9" s="388">
        <f t="shared" si="0"/>
        <v>1.1204130756413424</v>
      </c>
      <c r="O9" s="388">
        <f t="shared" si="0"/>
        <v>1.1461825763810933</v>
      </c>
      <c r="P9" s="388">
        <f t="shared" si="0"/>
        <v>1.1725447756378582</v>
      </c>
      <c r="Q9" s="388">
        <f t="shared" si="0"/>
        <v>1.1995133054775289</v>
      </c>
      <c r="R9" s="388">
        <f t="shared" si="0"/>
        <v>1.227102111503512</v>
      </c>
      <c r="S9" s="388">
        <f t="shared" si="0"/>
        <v>1.2553254600680925</v>
      </c>
      <c r="T9" s="388">
        <f t="shared" si="0"/>
        <v>1.2841979456496586</v>
      </c>
      <c r="U9" s="388">
        <f t="shared" si="0"/>
        <v>1.3137344983996007</v>
      </c>
      <c r="V9" s="388">
        <f t="shared" si="0"/>
        <v>1.3439503918627913</v>
      </c>
      <c r="W9" s="388">
        <f t="shared" si="0"/>
        <v>1.3748612508756355</v>
      </c>
      <c r="X9" s="388">
        <f t="shared" si="0"/>
        <v>1.4064830596457747</v>
      </c>
      <c r="Y9" s="388">
        <f t="shared" si="0"/>
        <v>1.4388321700176274</v>
      </c>
      <c r="Z9" s="388">
        <f t="shared" si="0"/>
        <v>1.4719253099280327</v>
      </c>
      <c r="AA9" s="388">
        <f t="shared" si="0"/>
        <v>1.5057795920563775</v>
      </c>
      <c r="AB9" s="388">
        <f t="shared" si="0"/>
        <v>1.5404125226736738</v>
      </c>
      <c r="AC9" s="388">
        <f t="shared" si="0"/>
        <v>1.5758420106951683</v>
      </c>
      <c r="AD9" s="388">
        <f t="shared" si="0"/>
        <v>1.6120863769411569</v>
      </c>
      <c r="AE9" s="388">
        <f t="shared" si="0"/>
        <v>1.6491643636108035</v>
      </c>
      <c r="AF9" s="388">
        <f t="shared" si="0"/>
        <v>1.6870951439738515</v>
      </c>
      <c r="AG9" s="388">
        <f t="shared" si="0"/>
        <v>1.7258983322852501</v>
      </c>
      <c r="AH9" s="388">
        <f t="shared" si="0"/>
        <v>1.7655939939278107</v>
      </c>
      <c r="AI9" s="388">
        <f t="shared" si="0"/>
        <v>1.80620265578815</v>
      </c>
      <c r="AJ9" s="388">
        <f t="shared" si="0"/>
        <v>1.8477453168712774</v>
      </c>
      <c r="AK9" s="388">
        <f t="shared" si="0"/>
        <v>1.8902434591593167</v>
      </c>
      <c r="AL9" s="299">
        <f t="shared" si="0"/>
        <v>1.9337190587199808</v>
      </c>
      <c r="AM9" s="319"/>
      <c r="AN9" s="318"/>
      <c r="AP9" s="270">
        <v>5</v>
      </c>
      <c r="AQ9" s="270">
        <v>2</v>
      </c>
      <c r="AR9" s="270">
        <v>7</v>
      </c>
    </row>
    <row r="10" spans="1:43" ht="15.75" thickBot="1">
      <c r="A10" s="325" t="s">
        <v>66</v>
      </c>
      <c r="B10" s="329" t="s">
        <v>65</v>
      </c>
      <c r="C10" s="326">
        <v>0.25</v>
      </c>
      <c r="D10" s="260"/>
      <c r="E10" s="318"/>
      <c r="F10" s="319"/>
      <c r="G10" s="293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311"/>
      <c r="AM10" s="319"/>
      <c r="AN10" s="318"/>
      <c r="AP10" s="270">
        <v>7</v>
      </c>
      <c r="AQ10" s="270">
        <v>3</v>
      </c>
    </row>
    <row r="11" spans="1:43" ht="15.75" thickBot="1">
      <c r="A11" s="325" t="s">
        <v>67</v>
      </c>
      <c r="B11" s="329" t="s">
        <v>65</v>
      </c>
      <c r="C11" s="326">
        <v>0.2</v>
      </c>
      <c r="D11" s="260"/>
      <c r="E11" s="318"/>
      <c r="F11" s="319"/>
      <c r="G11" s="338" t="s">
        <v>18</v>
      </c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4"/>
      <c r="AM11" s="319"/>
      <c r="AN11" s="318"/>
      <c r="AP11" s="270">
        <v>10</v>
      </c>
      <c r="AQ11" s="270">
        <v>4</v>
      </c>
    </row>
    <row r="12" spans="1:43" ht="15">
      <c r="A12" s="346" t="s">
        <v>3</v>
      </c>
      <c r="B12" s="359"/>
      <c r="C12" s="334"/>
      <c r="D12" s="260"/>
      <c r="E12" s="318"/>
      <c r="F12" s="319"/>
      <c r="G12" s="385" t="s">
        <v>3</v>
      </c>
      <c r="H12" s="286"/>
      <c r="I12" s="273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311"/>
      <c r="AM12" s="319"/>
      <c r="AN12" s="318"/>
      <c r="AP12" s="270">
        <v>15</v>
      </c>
      <c r="AQ12" s="270">
        <v>5</v>
      </c>
    </row>
    <row r="13" spans="1:43" ht="15">
      <c r="A13" s="325" t="s">
        <v>69</v>
      </c>
      <c r="B13" s="360" t="s">
        <v>80</v>
      </c>
      <c r="C13" s="327">
        <v>70</v>
      </c>
      <c r="D13" s="260"/>
      <c r="E13" s="318"/>
      <c r="F13" s="319"/>
      <c r="G13" s="391" t="s">
        <v>19</v>
      </c>
      <c r="H13" s="378"/>
      <c r="I13" s="380">
        <f aca="true" t="shared" si="1" ref="I13:AL13">IF(I8&gt;$C$33,0,($C$17+$C$9*$C$10*$AQ$41*IF($C$22&lt;&gt;0,MAX((($C$22+1-I8)/$C$22),0),0)*12*1000)*$C$9*$C$10*I9*(1+0.0025)^(I8-1))</f>
        <v>3129567.4999999995</v>
      </c>
      <c r="J13" s="380">
        <f t="shared" si="1"/>
        <v>3229843.614854999</v>
      </c>
      <c r="K13" s="380">
        <f t="shared" si="1"/>
        <v>3333201.1542501105</v>
      </c>
      <c r="L13" s="380">
        <f t="shared" si="1"/>
        <v>3439732.1262657726</v>
      </c>
      <c r="M13" s="380">
        <f t="shared" si="1"/>
        <v>3549531.229232683</v>
      </c>
      <c r="N13" s="380">
        <f t="shared" si="1"/>
        <v>3662695.9291455685</v>
      </c>
      <c r="O13" s="380">
        <f t="shared" si="1"/>
        <v>3756305.280354705</v>
      </c>
      <c r="P13" s="380">
        <f t="shared" si="1"/>
        <v>3852307.0525573697</v>
      </c>
      <c r="Q13" s="380">
        <f t="shared" si="1"/>
        <v>3950762.3900531046</v>
      </c>
      <c r="R13" s="380">
        <f t="shared" si="1"/>
        <v>4051733.999836887</v>
      </c>
      <c r="S13" s="380">
        <f t="shared" si="1"/>
        <v>4155286.191537717</v>
      </c>
      <c r="T13" s="380">
        <f t="shared" si="1"/>
        <v>4261484.9183779415</v>
      </c>
      <c r="U13" s="380">
        <f t="shared" si="1"/>
        <v>4370397.819179386</v>
      </c>
      <c r="V13" s="380">
        <f t="shared" si="1"/>
        <v>4482094.261443063</v>
      </c>
      <c r="W13" s="380">
        <f t="shared" si="1"/>
        <v>4596645.3855298925</v>
      </c>
      <c r="X13" s="380">
        <f t="shared" si="1"/>
        <v>4714124.149970571</v>
      </c>
      <c r="Y13" s="380">
        <f t="shared" si="1"/>
        <v>4834605.377933444</v>
      </c>
      <c r="Z13" s="380">
        <f t="shared" si="1"/>
        <v>4958165.804879976</v>
      </c>
      <c r="AA13" s="380">
        <f t="shared" si="1"/>
        <v>5084884.127438197</v>
      </c>
      <c r="AB13" s="380">
        <f t="shared" si="1"/>
        <v>5214841.053525196</v>
      </c>
      <c r="AC13" s="380">
        <f t="shared" si="1"/>
        <v>0</v>
      </c>
      <c r="AD13" s="380">
        <f t="shared" si="1"/>
        <v>0</v>
      </c>
      <c r="AE13" s="380">
        <f t="shared" si="1"/>
        <v>0</v>
      </c>
      <c r="AF13" s="380">
        <f t="shared" si="1"/>
        <v>0</v>
      </c>
      <c r="AG13" s="380">
        <f t="shared" si="1"/>
        <v>0</v>
      </c>
      <c r="AH13" s="380">
        <f t="shared" si="1"/>
        <v>0</v>
      </c>
      <c r="AI13" s="380">
        <f t="shared" si="1"/>
        <v>0</v>
      </c>
      <c r="AJ13" s="380">
        <f t="shared" si="1"/>
        <v>0</v>
      </c>
      <c r="AK13" s="380">
        <f t="shared" si="1"/>
        <v>0</v>
      </c>
      <c r="AL13" s="366">
        <f t="shared" si="1"/>
        <v>0</v>
      </c>
      <c r="AM13" s="319"/>
      <c r="AN13" s="318"/>
      <c r="AP13" s="270">
        <v>20</v>
      </c>
      <c r="AQ13" s="270">
        <v>6</v>
      </c>
    </row>
    <row r="14" spans="1:43" ht="15">
      <c r="A14" s="325" t="s">
        <v>137</v>
      </c>
      <c r="B14" s="405" t="s">
        <v>80</v>
      </c>
      <c r="C14" s="327">
        <v>25</v>
      </c>
      <c r="D14" s="260"/>
      <c r="E14" s="318"/>
      <c r="F14" s="319"/>
      <c r="G14" s="392" t="s">
        <v>2</v>
      </c>
      <c r="H14" s="377"/>
      <c r="I14" s="261">
        <f aca="true" t="shared" si="2" ref="I14:AL14">MAX(0,IF(I$8&gt;$C$33,0,IF($C$23=0,$C$15,IF($C$23=1,$C$15*I9,$C$15*(I9^$C$23)))))</f>
        <v>12264000</v>
      </c>
      <c r="J14" s="261">
        <f t="shared" si="2"/>
        <v>12546071.999999998</v>
      </c>
      <c r="K14" s="261">
        <f t="shared" si="2"/>
        <v>12834631.655999998</v>
      </c>
      <c r="L14" s="261">
        <f t="shared" si="2"/>
        <v>13129828.184087995</v>
      </c>
      <c r="M14" s="261">
        <f t="shared" si="2"/>
        <v>13431814.232322019</v>
      </c>
      <c r="N14" s="261">
        <f t="shared" si="2"/>
        <v>13740745.959665423</v>
      </c>
      <c r="O14" s="261">
        <f t="shared" si="2"/>
        <v>14056783.116737729</v>
      </c>
      <c r="P14" s="261">
        <f t="shared" si="2"/>
        <v>14380089.128422692</v>
      </c>
      <c r="Q14" s="261">
        <f t="shared" si="2"/>
        <v>14710831.178376414</v>
      </c>
      <c r="R14" s="261">
        <f t="shared" si="2"/>
        <v>15049180.29547907</v>
      </c>
      <c r="S14" s="261">
        <f t="shared" si="2"/>
        <v>15395311.442275086</v>
      </c>
      <c r="T14" s="261">
        <f t="shared" si="2"/>
        <v>15749403.605447413</v>
      </c>
      <c r="U14" s="261">
        <f t="shared" si="2"/>
        <v>16111639.888372703</v>
      </c>
      <c r="V14" s="261">
        <f t="shared" si="2"/>
        <v>16482207.605805272</v>
      </c>
      <c r="W14" s="261">
        <f t="shared" si="2"/>
        <v>16861298.380738795</v>
      </c>
      <c r="X14" s="261">
        <f t="shared" si="2"/>
        <v>17249108.24349578</v>
      </c>
      <c r="Y14" s="261">
        <f t="shared" si="2"/>
        <v>17645837.733096182</v>
      </c>
      <c r="Z14" s="261">
        <f t="shared" si="2"/>
        <v>18051692.000957392</v>
      </c>
      <c r="AA14" s="261">
        <f t="shared" si="2"/>
        <v>18466880.916979413</v>
      </c>
      <c r="AB14" s="261">
        <f t="shared" si="2"/>
        <v>18891619.178069934</v>
      </c>
      <c r="AC14" s="261">
        <f t="shared" si="2"/>
        <v>0</v>
      </c>
      <c r="AD14" s="261">
        <f t="shared" si="2"/>
        <v>0</v>
      </c>
      <c r="AE14" s="261">
        <f t="shared" si="2"/>
        <v>0</v>
      </c>
      <c r="AF14" s="261">
        <f t="shared" si="2"/>
        <v>0</v>
      </c>
      <c r="AG14" s="261">
        <f t="shared" si="2"/>
        <v>0</v>
      </c>
      <c r="AH14" s="261">
        <f t="shared" si="2"/>
        <v>0</v>
      </c>
      <c r="AI14" s="261">
        <f t="shared" si="2"/>
        <v>0</v>
      </c>
      <c r="AJ14" s="261">
        <f t="shared" si="2"/>
        <v>0</v>
      </c>
      <c r="AK14" s="261">
        <f t="shared" si="2"/>
        <v>0</v>
      </c>
      <c r="AL14" s="316">
        <f t="shared" si="2"/>
        <v>0</v>
      </c>
      <c r="AM14" s="319"/>
      <c r="AN14" s="318"/>
      <c r="AP14" s="270"/>
      <c r="AQ14" s="270">
        <v>7</v>
      </c>
    </row>
    <row r="15" spans="1:43" ht="15">
      <c r="A15" s="321" t="s">
        <v>70</v>
      </c>
      <c r="B15" s="263" t="s">
        <v>89</v>
      </c>
      <c r="C15" s="303">
        <f>C13*C11*C9*8760</f>
        <v>12264000</v>
      </c>
      <c r="D15" s="260"/>
      <c r="E15" s="318"/>
      <c r="F15" s="319"/>
      <c r="G15" s="392" t="s">
        <v>135</v>
      </c>
      <c r="H15" s="377"/>
      <c r="I15" s="261">
        <f aca="true" t="shared" si="3" ref="I15:AL15">MAX(0,IF(I$8&gt;$C$33,0,IF($C$23=0,$C$16,IF($C$23=1,$C$16*I9,$C$16*(I9^$C$23)))))</f>
        <v>4380000</v>
      </c>
      <c r="J15" s="261">
        <f t="shared" si="3"/>
        <v>4480740</v>
      </c>
      <c r="K15" s="261">
        <f t="shared" si="3"/>
        <v>4583797.02</v>
      </c>
      <c r="L15" s="261">
        <f t="shared" si="3"/>
        <v>4689224.351459999</v>
      </c>
      <c r="M15" s="261">
        <f t="shared" si="3"/>
        <v>4797076.5115435785</v>
      </c>
      <c r="N15" s="261">
        <f t="shared" si="3"/>
        <v>4907409.27130908</v>
      </c>
      <c r="O15" s="261">
        <f t="shared" si="3"/>
        <v>5020279.684549189</v>
      </c>
      <c r="P15" s="261">
        <f t="shared" si="3"/>
        <v>5135746.117293819</v>
      </c>
      <c r="Q15" s="261">
        <f t="shared" si="3"/>
        <v>5253868.277991576</v>
      </c>
      <c r="R15" s="261">
        <f t="shared" si="3"/>
        <v>5374707.248385382</v>
      </c>
      <c r="S15" s="261">
        <f t="shared" si="3"/>
        <v>5498325.515098245</v>
      </c>
      <c r="T15" s="261">
        <f t="shared" si="3"/>
        <v>5624787.001945505</v>
      </c>
      <c r="U15" s="261">
        <f t="shared" si="3"/>
        <v>5754157.102990251</v>
      </c>
      <c r="V15" s="261">
        <f t="shared" si="3"/>
        <v>5886502.716359026</v>
      </c>
      <c r="W15" s="261">
        <f t="shared" si="3"/>
        <v>6021892.278835284</v>
      </c>
      <c r="X15" s="261">
        <f t="shared" si="3"/>
        <v>6160395.801248494</v>
      </c>
      <c r="Y15" s="261">
        <f t="shared" si="3"/>
        <v>6302084.9046772085</v>
      </c>
      <c r="Z15" s="261">
        <f t="shared" si="3"/>
        <v>6447032.857484783</v>
      </c>
      <c r="AA15" s="261">
        <f t="shared" si="3"/>
        <v>6595314.613206933</v>
      </c>
      <c r="AB15" s="261">
        <f t="shared" si="3"/>
        <v>6747006.8493106915</v>
      </c>
      <c r="AC15" s="261">
        <f t="shared" si="3"/>
        <v>0</v>
      </c>
      <c r="AD15" s="261">
        <f t="shared" si="3"/>
        <v>0</v>
      </c>
      <c r="AE15" s="261">
        <f t="shared" si="3"/>
        <v>0</v>
      </c>
      <c r="AF15" s="261">
        <f t="shared" si="3"/>
        <v>0</v>
      </c>
      <c r="AG15" s="261">
        <f t="shared" si="3"/>
        <v>0</v>
      </c>
      <c r="AH15" s="261">
        <f t="shared" si="3"/>
        <v>0</v>
      </c>
      <c r="AI15" s="261">
        <f t="shared" si="3"/>
        <v>0</v>
      </c>
      <c r="AJ15" s="261">
        <f t="shared" si="3"/>
        <v>0</v>
      </c>
      <c r="AK15" s="261">
        <f t="shared" si="3"/>
        <v>0</v>
      </c>
      <c r="AL15" s="316">
        <f t="shared" si="3"/>
        <v>0</v>
      </c>
      <c r="AM15" s="319"/>
      <c r="AN15" s="318"/>
      <c r="AP15" s="270"/>
      <c r="AQ15" s="270">
        <v>8</v>
      </c>
    </row>
    <row r="16" spans="1:43" ht="15.75" thickBot="1">
      <c r="A16" s="325" t="s">
        <v>135</v>
      </c>
      <c r="B16" s="263" t="s">
        <v>89</v>
      </c>
      <c r="C16" s="303">
        <f>C14*C11*C9*8760</f>
        <v>4380000</v>
      </c>
      <c r="D16" s="260"/>
      <c r="E16" s="318"/>
      <c r="F16" s="319"/>
      <c r="G16" s="288" t="s">
        <v>20</v>
      </c>
      <c r="H16" s="376"/>
      <c r="I16" s="278">
        <f>SUM(I13:I15)</f>
        <v>19773567.5</v>
      </c>
      <c r="J16" s="278">
        <f aca="true" t="shared" si="4" ref="J16:AL16">SUM(J13:J15)</f>
        <v>20256655.614855</v>
      </c>
      <c r="K16" s="278">
        <f t="shared" si="4"/>
        <v>20751629.830250107</v>
      </c>
      <c r="L16" s="278">
        <f t="shared" si="4"/>
        <v>21258784.661813766</v>
      </c>
      <c r="M16" s="278">
        <f t="shared" si="4"/>
        <v>21778421.97309828</v>
      </c>
      <c r="N16" s="278">
        <f t="shared" si="4"/>
        <v>22310851.16012007</v>
      </c>
      <c r="O16" s="278">
        <f t="shared" si="4"/>
        <v>22833368.081641626</v>
      </c>
      <c r="P16" s="278">
        <f t="shared" si="4"/>
        <v>23368142.298273884</v>
      </c>
      <c r="Q16" s="278">
        <f t="shared" si="4"/>
        <v>23915461.846421093</v>
      </c>
      <c r="R16" s="278">
        <f t="shared" si="4"/>
        <v>24475621.54370134</v>
      </c>
      <c r="S16" s="278">
        <f t="shared" si="4"/>
        <v>25048923.148911048</v>
      </c>
      <c r="T16" s="278">
        <f t="shared" si="4"/>
        <v>25635675.525770858</v>
      </c>
      <c r="U16" s="278">
        <f t="shared" si="4"/>
        <v>26236194.81054234</v>
      </c>
      <c r="V16" s="278">
        <f t="shared" si="4"/>
        <v>26850804.58360736</v>
      </c>
      <c r="W16" s="278">
        <f t="shared" si="4"/>
        <v>27479836.045103967</v>
      </c>
      <c r="X16" s="278">
        <f t="shared" si="4"/>
        <v>28123628.194714848</v>
      </c>
      <c r="Y16" s="278">
        <f t="shared" si="4"/>
        <v>28782528.015706833</v>
      </c>
      <c r="Z16" s="278">
        <f t="shared" si="4"/>
        <v>29456890.663322154</v>
      </c>
      <c r="AA16" s="278">
        <f t="shared" si="4"/>
        <v>30147079.657624546</v>
      </c>
      <c r="AB16" s="278">
        <f t="shared" si="4"/>
        <v>30853467.08090582</v>
      </c>
      <c r="AC16" s="278">
        <f t="shared" si="4"/>
        <v>0</v>
      </c>
      <c r="AD16" s="278">
        <f t="shared" si="4"/>
        <v>0</v>
      </c>
      <c r="AE16" s="278">
        <f t="shared" si="4"/>
        <v>0</v>
      </c>
      <c r="AF16" s="278">
        <f t="shared" si="4"/>
        <v>0</v>
      </c>
      <c r="AG16" s="278">
        <f t="shared" si="4"/>
        <v>0</v>
      </c>
      <c r="AH16" s="278">
        <f t="shared" si="4"/>
        <v>0</v>
      </c>
      <c r="AI16" s="278">
        <f t="shared" si="4"/>
        <v>0</v>
      </c>
      <c r="AJ16" s="278">
        <f t="shared" si="4"/>
        <v>0</v>
      </c>
      <c r="AK16" s="278">
        <f t="shared" si="4"/>
        <v>0</v>
      </c>
      <c r="AL16" s="354">
        <f t="shared" si="4"/>
        <v>0</v>
      </c>
      <c r="AM16" s="319"/>
      <c r="AN16" s="318"/>
      <c r="AP16" s="270"/>
      <c r="AQ16" s="270">
        <v>9</v>
      </c>
    </row>
    <row r="17" spans="1:43" ht="15.75" thickTop="1">
      <c r="A17" s="325" t="s">
        <v>47</v>
      </c>
      <c r="B17" s="263" t="s">
        <v>87</v>
      </c>
      <c r="C17" s="357">
        <f>'ICAP Price&amp;Impact'!O47</f>
        <v>129139.99999999999</v>
      </c>
      <c r="D17" s="265"/>
      <c r="E17" s="318"/>
      <c r="F17" s="319"/>
      <c r="G17" s="289" t="s">
        <v>4</v>
      </c>
      <c r="H17" s="284"/>
      <c r="I17" s="379"/>
      <c r="J17" s="256"/>
      <c r="K17" s="256"/>
      <c r="L17" s="256"/>
      <c r="M17" s="256"/>
      <c r="N17" s="256"/>
      <c r="O17" s="256"/>
      <c r="P17" s="256"/>
      <c r="Q17" s="256"/>
      <c r="R17" s="256"/>
      <c r="S17" s="332"/>
      <c r="T17" s="347"/>
      <c r="U17" s="332"/>
      <c r="V17" s="332"/>
      <c r="W17" s="332"/>
      <c r="X17" s="332"/>
      <c r="Y17" s="332"/>
      <c r="Z17" s="256"/>
      <c r="AA17" s="256"/>
      <c r="AB17" s="256"/>
      <c r="AC17" s="256"/>
      <c r="AD17" s="256"/>
      <c r="AE17" s="256"/>
      <c r="AF17" s="256"/>
      <c r="AG17" s="256"/>
      <c r="AH17" s="256"/>
      <c r="AI17" s="332"/>
      <c r="AJ17" s="347"/>
      <c r="AK17" s="332"/>
      <c r="AL17" s="309"/>
      <c r="AM17" s="319"/>
      <c r="AN17" s="318"/>
      <c r="AP17" s="270"/>
      <c r="AQ17" s="270">
        <v>10</v>
      </c>
    </row>
    <row r="18" spans="1:43" ht="15">
      <c r="A18" s="325" t="s">
        <v>101</v>
      </c>
      <c r="B18" s="258" t="s">
        <v>65</v>
      </c>
      <c r="C18" s="307">
        <v>1</v>
      </c>
      <c r="E18" s="318"/>
      <c r="F18" s="319"/>
      <c r="G18" s="391" t="s">
        <v>5</v>
      </c>
      <c r="H18" s="378"/>
      <c r="I18" s="380">
        <f>IF(I8&gt;$C$33,0,-$C$37)</f>
        <v>-4500000</v>
      </c>
      <c r="J18" s="372">
        <f aca="true" t="shared" si="5" ref="J18:AL18">IF(J8&gt;$C$33,0,$I$18*J9)</f>
        <v>-4603500</v>
      </c>
      <c r="K18" s="372">
        <f t="shared" si="5"/>
        <v>-4709380.499999999</v>
      </c>
      <c r="L18" s="372">
        <f t="shared" si="5"/>
        <v>-4817696.251499998</v>
      </c>
      <c r="M18" s="372">
        <f t="shared" si="5"/>
        <v>-4928503.265284498</v>
      </c>
      <c r="N18" s="372">
        <f t="shared" si="5"/>
        <v>-5041858.8403860405</v>
      </c>
      <c r="O18" s="372">
        <f t="shared" si="5"/>
        <v>-5157821.59371492</v>
      </c>
      <c r="P18" s="372">
        <f t="shared" si="5"/>
        <v>-5276451.490370362</v>
      </c>
      <c r="Q18" s="372">
        <f t="shared" si="5"/>
        <v>-5397809.87464888</v>
      </c>
      <c r="R18" s="372">
        <f t="shared" si="5"/>
        <v>-5521959.501765803</v>
      </c>
      <c r="S18" s="348">
        <f t="shared" si="5"/>
        <v>-5648964.570306417</v>
      </c>
      <c r="T18" s="348">
        <f t="shared" si="5"/>
        <v>-5778890.755423464</v>
      </c>
      <c r="U18" s="348">
        <f t="shared" si="5"/>
        <v>-5911805.242798203</v>
      </c>
      <c r="V18" s="348">
        <f t="shared" si="5"/>
        <v>-6047776.763382561</v>
      </c>
      <c r="W18" s="348">
        <f t="shared" si="5"/>
        <v>-6186875.62894036</v>
      </c>
      <c r="X18" s="348">
        <f t="shared" si="5"/>
        <v>-6329173.768405986</v>
      </c>
      <c r="Y18" s="348">
        <f t="shared" si="5"/>
        <v>-6474744.765079323</v>
      </c>
      <c r="Z18" s="348">
        <f t="shared" si="5"/>
        <v>-6623663.894676147</v>
      </c>
      <c r="AA18" s="348">
        <f t="shared" si="5"/>
        <v>-6776008.164253699</v>
      </c>
      <c r="AB18" s="348">
        <f t="shared" si="5"/>
        <v>-6931856.352031532</v>
      </c>
      <c r="AC18" s="348">
        <f t="shared" si="5"/>
        <v>0</v>
      </c>
      <c r="AD18" s="348">
        <f t="shared" si="5"/>
        <v>0</v>
      </c>
      <c r="AE18" s="348">
        <f t="shared" si="5"/>
        <v>0</v>
      </c>
      <c r="AF18" s="348">
        <f t="shared" si="5"/>
        <v>0</v>
      </c>
      <c r="AG18" s="348">
        <f t="shared" si="5"/>
        <v>0</v>
      </c>
      <c r="AH18" s="348">
        <f t="shared" si="5"/>
        <v>0</v>
      </c>
      <c r="AI18" s="348">
        <f t="shared" si="5"/>
        <v>0</v>
      </c>
      <c r="AJ18" s="348">
        <f t="shared" si="5"/>
        <v>0</v>
      </c>
      <c r="AK18" s="348">
        <f t="shared" si="5"/>
        <v>0</v>
      </c>
      <c r="AL18" s="308">
        <f t="shared" si="5"/>
        <v>0</v>
      </c>
      <c r="AM18" s="319"/>
      <c r="AN18" s="318"/>
      <c r="AQ18" s="270">
        <v>11</v>
      </c>
    </row>
    <row r="19" spans="1:43" ht="15">
      <c r="A19" s="325" t="s">
        <v>102</v>
      </c>
      <c r="B19" s="258" t="s">
        <v>65</v>
      </c>
      <c r="C19" s="307">
        <v>1</v>
      </c>
      <c r="D19" s="265"/>
      <c r="E19" s="318"/>
      <c r="F19" s="319"/>
      <c r="G19" s="391" t="s">
        <v>6</v>
      </c>
      <c r="H19" s="378"/>
      <c r="I19" s="261">
        <f>IF(I8&gt;$C$33,0,-$C$38)</f>
        <v>0</v>
      </c>
      <c r="J19" s="285">
        <f aca="true" t="shared" si="6" ref="J19:AL19">IF(J8&gt;$C$33,0,$I$19*J9)</f>
        <v>0</v>
      </c>
      <c r="K19" s="285">
        <f t="shared" si="6"/>
        <v>0</v>
      </c>
      <c r="L19" s="285">
        <f t="shared" si="6"/>
        <v>0</v>
      </c>
      <c r="M19" s="285">
        <f t="shared" si="6"/>
        <v>0</v>
      </c>
      <c r="N19" s="285">
        <f t="shared" si="6"/>
        <v>0</v>
      </c>
      <c r="O19" s="285">
        <f t="shared" si="6"/>
        <v>0</v>
      </c>
      <c r="P19" s="285">
        <f t="shared" si="6"/>
        <v>0</v>
      </c>
      <c r="Q19" s="285">
        <f t="shared" si="6"/>
        <v>0</v>
      </c>
      <c r="R19" s="285">
        <f t="shared" si="6"/>
        <v>0</v>
      </c>
      <c r="S19" s="358">
        <f t="shared" si="6"/>
        <v>0</v>
      </c>
      <c r="T19" s="358">
        <f t="shared" si="6"/>
        <v>0</v>
      </c>
      <c r="U19" s="358">
        <f t="shared" si="6"/>
        <v>0</v>
      </c>
      <c r="V19" s="358">
        <f t="shared" si="6"/>
        <v>0</v>
      </c>
      <c r="W19" s="358">
        <f t="shared" si="6"/>
        <v>0</v>
      </c>
      <c r="X19" s="358">
        <f t="shared" si="6"/>
        <v>0</v>
      </c>
      <c r="Y19" s="358">
        <f t="shared" si="6"/>
        <v>0</v>
      </c>
      <c r="Z19" s="358">
        <f t="shared" si="6"/>
        <v>0</v>
      </c>
      <c r="AA19" s="358">
        <f t="shared" si="6"/>
        <v>0</v>
      </c>
      <c r="AB19" s="358">
        <f t="shared" si="6"/>
        <v>0</v>
      </c>
      <c r="AC19" s="358">
        <f t="shared" si="6"/>
        <v>0</v>
      </c>
      <c r="AD19" s="358">
        <f t="shared" si="6"/>
        <v>0</v>
      </c>
      <c r="AE19" s="358">
        <f t="shared" si="6"/>
        <v>0</v>
      </c>
      <c r="AF19" s="358">
        <f t="shared" si="6"/>
        <v>0</v>
      </c>
      <c r="AG19" s="358">
        <f t="shared" si="6"/>
        <v>0</v>
      </c>
      <c r="AH19" s="358">
        <f t="shared" si="6"/>
        <v>0</v>
      </c>
      <c r="AI19" s="358">
        <f t="shared" si="6"/>
        <v>0</v>
      </c>
      <c r="AJ19" s="358">
        <f t="shared" si="6"/>
        <v>0</v>
      </c>
      <c r="AK19" s="358">
        <f t="shared" si="6"/>
        <v>0</v>
      </c>
      <c r="AL19" s="308">
        <f t="shared" si="6"/>
        <v>0</v>
      </c>
      <c r="AM19" s="319"/>
      <c r="AN19" s="318"/>
      <c r="AQ19" s="270">
        <v>12</v>
      </c>
    </row>
    <row r="20" spans="1:43" ht="15">
      <c r="A20" s="325" t="s">
        <v>103</v>
      </c>
      <c r="B20" s="258" t="s">
        <v>65</v>
      </c>
      <c r="C20" s="307">
        <v>1</v>
      </c>
      <c r="D20" s="265"/>
      <c r="E20" s="318"/>
      <c r="F20" s="319"/>
      <c r="G20" s="391" t="s">
        <v>7</v>
      </c>
      <c r="H20" s="378"/>
      <c r="I20" s="261">
        <f aca="true" t="shared" si="7" ref="I20:AL20">IF(I8&gt;$C$33,0,-$C$39)</f>
        <v>0</v>
      </c>
      <c r="J20" s="261">
        <f t="shared" si="7"/>
        <v>0</v>
      </c>
      <c r="K20" s="261">
        <f t="shared" si="7"/>
        <v>0</v>
      </c>
      <c r="L20" s="261">
        <f t="shared" si="7"/>
        <v>0</v>
      </c>
      <c r="M20" s="261">
        <f t="shared" si="7"/>
        <v>0</v>
      </c>
      <c r="N20" s="261">
        <f t="shared" si="7"/>
        <v>0</v>
      </c>
      <c r="O20" s="261">
        <f t="shared" si="7"/>
        <v>0</v>
      </c>
      <c r="P20" s="261">
        <f t="shared" si="7"/>
        <v>0</v>
      </c>
      <c r="Q20" s="261">
        <f t="shared" si="7"/>
        <v>0</v>
      </c>
      <c r="R20" s="261">
        <f t="shared" si="7"/>
        <v>0</v>
      </c>
      <c r="S20" s="340">
        <f t="shared" si="7"/>
        <v>0</v>
      </c>
      <c r="T20" s="340">
        <f t="shared" si="7"/>
        <v>0</v>
      </c>
      <c r="U20" s="340">
        <f t="shared" si="7"/>
        <v>0</v>
      </c>
      <c r="V20" s="340">
        <f t="shared" si="7"/>
        <v>0</v>
      </c>
      <c r="W20" s="340">
        <f t="shared" si="7"/>
        <v>0</v>
      </c>
      <c r="X20" s="340">
        <f t="shared" si="7"/>
        <v>0</v>
      </c>
      <c r="Y20" s="340">
        <f t="shared" si="7"/>
        <v>0</v>
      </c>
      <c r="Z20" s="261">
        <f t="shared" si="7"/>
        <v>0</v>
      </c>
      <c r="AA20" s="261">
        <f t="shared" si="7"/>
        <v>0</v>
      </c>
      <c r="AB20" s="261">
        <f t="shared" si="7"/>
        <v>0</v>
      </c>
      <c r="AC20" s="261">
        <f t="shared" si="7"/>
        <v>0</v>
      </c>
      <c r="AD20" s="261">
        <f t="shared" si="7"/>
        <v>0</v>
      </c>
      <c r="AE20" s="261">
        <f t="shared" si="7"/>
        <v>0</v>
      </c>
      <c r="AF20" s="261">
        <f t="shared" si="7"/>
        <v>0</v>
      </c>
      <c r="AG20" s="261">
        <f t="shared" si="7"/>
        <v>0</v>
      </c>
      <c r="AH20" s="261">
        <f t="shared" si="7"/>
        <v>0</v>
      </c>
      <c r="AI20" s="340">
        <f t="shared" si="7"/>
        <v>0</v>
      </c>
      <c r="AJ20" s="340">
        <f t="shared" si="7"/>
        <v>0</v>
      </c>
      <c r="AK20" s="340">
        <f t="shared" si="7"/>
        <v>0</v>
      </c>
      <c r="AL20" s="308">
        <f t="shared" si="7"/>
        <v>0</v>
      </c>
      <c r="AM20" s="319"/>
      <c r="AN20" s="318"/>
      <c r="AQ20" s="270">
        <v>13</v>
      </c>
    </row>
    <row r="21" spans="1:43" ht="15">
      <c r="A21" s="321" t="s">
        <v>78</v>
      </c>
      <c r="B21" s="329"/>
      <c r="C21" s="312">
        <f>-C18*'ICAP Price&amp;Impact'!$P$57-C19*'ICAP Price&amp;Impact'!P38-C20*'ICAP Price&amp;Impact'!P19</f>
        <v>226689648.10000014</v>
      </c>
      <c r="D21" s="265"/>
      <c r="E21" s="318"/>
      <c r="F21" s="319"/>
      <c r="G21" s="560" t="s">
        <v>152</v>
      </c>
      <c r="H21" s="378"/>
      <c r="I21" s="261">
        <f>IF(I8&gt;$C$33,0,-$C$40)</f>
        <v>0</v>
      </c>
      <c r="J21" s="261">
        <f aca="true" t="shared" si="8" ref="J21:AL21">IF(J8&gt;$C$33,0,-$C$40)</f>
        <v>0</v>
      </c>
      <c r="K21" s="261">
        <f t="shared" si="8"/>
        <v>0</v>
      </c>
      <c r="L21" s="261">
        <f t="shared" si="8"/>
        <v>0</v>
      </c>
      <c r="M21" s="261">
        <f t="shared" si="8"/>
        <v>0</v>
      </c>
      <c r="N21" s="261">
        <f t="shared" si="8"/>
        <v>0</v>
      </c>
      <c r="O21" s="261">
        <f t="shared" si="8"/>
        <v>0</v>
      </c>
      <c r="P21" s="261">
        <f t="shared" si="8"/>
        <v>0</v>
      </c>
      <c r="Q21" s="261">
        <f t="shared" si="8"/>
        <v>0</v>
      </c>
      <c r="R21" s="261">
        <f t="shared" si="8"/>
        <v>0</v>
      </c>
      <c r="S21" s="340">
        <f t="shared" si="8"/>
        <v>0</v>
      </c>
      <c r="T21" s="340">
        <f t="shared" si="8"/>
        <v>0</v>
      </c>
      <c r="U21" s="340">
        <f t="shared" si="8"/>
        <v>0</v>
      </c>
      <c r="V21" s="340">
        <f t="shared" si="8"/>
        <v>0</v>
      </c>
      <c r="W21" s="340">
        <f t="shared" si="8"/>
        <v>0</v>
      </c>
      <c r="X21" s="340">
        <f t="shared" si="8"/>
        <v>0</v>
      </c>
      <c r="Y21" s="340">
        <f t="shared" si="8"/>
        <v>0</v>
      </c>
      <c r="Z21" s="261">
        <f t="shared" si="8"/>
        <v>0</v>
      </c>
      <c r="AA21" s="261">
        <f t="shared" si="8"/>
        <v>0</v>
      </c>
      <c r="AB21" s="261">
        <f t="shared" si="8"/>
        <v>0</v>
      </c>
      <c r="AC21" s="261">
        <f t="shared" si="8"/>
        <v>0</v>
      </c>
      <c r="AD21" s="261">
        <f t="shared" si="8"/>
        <v>0</v>
      </c>
      <c r="AE21" s="261">
        <f t="shared" si="8"/>
        <v>0</v>
      </c>
      <c r="AF21" s="261">
        <f t="shared" si="8"/>
        <v>0</v>
      </c>
      <c r="AG21" s="261">
        <f t="shared" si="8"/>
        <v>0</v>
      </c>
      <c r="AH21" s="261">
        <f t="shared" si="8"/>
        <v>0</v>
      </c>
      <c r="AI21" s="340">
        <f t="shared" si="8"/>
        <v>0</v>
      </c>
      <c r="AJ21" s="340">
        <f t="shared" si="8"/>
        <v>0</v>
      </c>
      <c r="AK21" s="340">
        <f t="shared" si="8"/>
        <v>0</v>
      </c>
      <c r="AL21" s="308">
        <f t="shared" si="8"/>
        <v>0</v>
      </c>
      <c r="AM21" s="319"/>
      <c r="AN21" s="318"/>
      <c r="AQ21" s="270">
        <v>14</v>
      </c>
    </row>
    <row r="22" spans="1:43" ht="15.75" thickBot="1">
      <c r="A22" s="325" t="s">
        <v>76</v>
      </c>
      <c r="B22" s="269" t="s">
        <v>88</v>
      </c>
      <c r="C22" s="314">
        <v>5</v>
      </c>
      <c r="D22" s="266"/>
      <c r="E22" s="318"/>
      <c r="F22" s="319"/>
      <c r="G22" s="290" t="s">
        <v>21</v>
      </c>
      <c r="H22" s="375"/>
      <c r="I22" s="280">
        <f>SUM(I18:I21)</f>
        <v>-4500000</v>
      </c>
      <c r="J22" s="281">
        <f aca="true" t="shared" si="9" ref="J22:AL22">SUM(J18:J21)</f>
        <v>-4603500</v>
      </c>
      <c r="K22" s="281">
        <f t="shared" si="9"/>
        <v>-4709380.499999999</v>
      </c>
      <c r="L22" s="281">
        <f t="shared" si="9"/>
        <v>-4817696.251499998</v>
      </c>
      <c r="M22" s="281">
        <f t="shared" si="9"/>
        <v>-4928503.265284498</v>
      </c>
      <c r="N22" s="281">
        <f t="shared" si="9"/>
        <v>-5041858.8403860405</v>
      </c>
      <c r="O22" s="281">
        <f t="shared" si="9"/>
        <v>-5157821.59371492</v>
      </c>
      <c r="P22" s="281">
        <f t="shared" si="9"/>
        <v>-5276451.490370362</v>
      </c>
      <c r="Q22" s="281">
        <f t="shared" si="9"/>
        <v>-5397809.87464888</v>
      </c>
      <c r="R22" s="281">
        <f t="shared" si="9"/>
        <v>-5521959.501765803</v>
      </c>
      <c r="S22" s="335">
        <f t="shared" si="9"/>
        <v>-5648964.570306417</v>
      </c>
      <c r="T22" s="335">
        <f t="shared" si="9"/>
        <v>-5778890.755423464</v>
      </c>
      <c r="U22" s="335">
        <f t="shared" si="9"/>
        <v>-5911805.242798203</v>
      </c>
      <c r="V22" s="335">
        <f t="shared" si="9"/>
        <v>-6047776.763382561</v>
      </c>
      <c r="W22" s="335">
        <f t="shared" si="9"/>
        <v>-6186875.62894036</v>
      </c>
      <c r="X22" s="335">
        <f t="shared" si="9"/>
        <v>-6329173.768405986</v>
      </c>
      <c r="Y22" s="335">
        <f t="shared" si="9"/>
        <v>-6474744.765079323</v>
      </c>
      <c r="Z22" s="281">
        <f t="shared" si="9"/>
        <v>-6623663.894676147</v>
      </c>
      <c r="AA22" s="281">
        <f t="shared" si="9"/>
        <v>-6776008.164253699</v>
      </c>
      <c r="AB22" s="281">
        <f t="shared" si="9"/>
        <v>-6931856.352031532</v>
      </c>
      <c r="AC22" s="281">
        <f t="shared" si="9"/>
        <v>0</v>
      </c>
      <c r="AD22" s="281">
        <f t="shared" si="9"/>
        <v>0</v>
      </c>
      <c r="AE22" s="281">
        <f t="shared" si="9"/>
        <v>0</v>
      </c>
      <c r="AF22" s="281">
        <f t="shared" si="9"/>
        <v>0</v>
      </c>
      <c r="AG22" s="281">
        <f t="shared" si="9"/>
        <v>0</v>
      </c>
      <c r="AH22" s="281">
        <f t="shared" si="9"/>
        <v>0</v>
      </c>
      <c r="AI22" s="335">
        <f t="shared" si="9"/>
        <v>0</v>
      </c>
      <c r="AJ22" s="335">
        <f t="shared" si="9"/>
        <v>0</v>
      </c>
      <c r="AK22" s="335">
        <f t="shared" si="9"/>
        <v>0</v>
      </c>
      <c r="AL22" s="310">
        <f t="shared" si="9"/>
        <v>0</v>
      </c>
      <c r="AM22" s="319"/>
      <c r="AN22" s="318"/>
      <c r="AQ22" s="270">
        <v>15</v>
      </c>
    </row>
    <row r="23" spans="1:43" ht="15.75" thickTop="1">
      <c r="A23" s="321" t="s">
        <v>48</v>
      </c>
      <c r="B23" s="263"/>
      <c r="C23" s="315">
        <v>1</v>
      </c>
      <c r="D23" s="266"/>
      <c r="E23" s="318"/>
      <c r="F23" s="319"/>
      <c r="G23" s="291"/>
      <c r="H23" s="256"/>
      <c r="I23" s="379"/>
      <c r="J23" s="256"/>
      <c r="K23" s="256"/>
      <c r="L23" s="256"/>
      <c r="M23" s="256"/>
      <c r="N23" s="256"/>
      <c r="O23" s="256"/>
      <c r="P23" s="256"/>
      <c r="Q23" s="256"/>
      <c r="R23" s="256"/>
      <c r="S23" s="332"/>
      <c r="T23" s="332"/>
      <c r="U23" s="332"/>
      <c r="V23" s="332"/>
      <c r="W23" s="332"/>
      <c r="X23" s="332"/>
      <c r="Y23" s="332"/>
      <c r="Z23" s="256"/>
      <c r="AA23" s="256"/>
      <c r="AB23" s="256"/>
      <c r="AC23" s="256"/>
      <c r="AD23" s="256"/>
      <c r="AE23" s="256"/>
      <c r="AF23" s="256"/>
      <c r="AG23" s="256"/>
      <c r="AH23" s="256"/>
      <c r="AI23" s="332"/>
      <c r="AJ23" s="332"/>
      <c r="AK23" s="332"/>
      <c r="AL23" s="309"/>
      <c r="AM23" s="319"/>
      <c r="AN23" s="318"/>
      <c r="AQ23" s="270">
        <v>16</v>
      </c>
    </row>
    <row r="24" spans="1:43" ht="15">
      <c r="A24" s="325" t="s">
        <v>132</v>
      </c>
      <c r="B24" s="258"/>
      <c r="C24" s="251" t="s">
        <v>133</v>
      </c>
      <c r="D24" s="266"/>
      <c r="E24" s="318"/>
      <c r="F24" s="319"/>
      <c r="G24" s="391" t="s">
        <v>22</v>
      </c>
      <c r="H24" s="378"/>
      <c r="I24" s="380">
        <f aca="true" t="shared" si="10" ref="I24:AL24">I16+I22</f>
        <v>15273567.5</v>
      </c>
      <c r="J24" s="372">
        <f t="shared" si="10"/>
        <v>15653155.614854999</v>
      </c>
      <c r="K24" s="372">
        <f t="shared" si="10"/>
        <v>16042249.330250107</v>
      </c>
      <c r="L24" s="372">
        <f t="shared" si="10"/>
        <v>16441088.410313766</v>
      </c>
      <c r="M24" s="372">
        <f t="shared" si="10"/>
        <v>16849918.707813784</v>
      </c>
      <c r="N24" s="372">
        <f t="shared" si="10"/>
        <v>17268992.31973403</v>
      </c>
      <c r="O24" s="372">
        <f t="shared" si="10"/>
        <v>17675546.487926707</v>
      </c>
      <c r="P24" s="372">
        <f t="shared" si="10"/>
        <v>18091690.80790352</v>
      </c>
      <c r="Q24" s="372">
        <f t="shared" si="10"/>
        <v>18517651.971772213</v>
      </c>
      <c r="R24" s="372">
        <f t="shared" si="10"/>
        <v>18953662.041935537</v>
      </c>
      <c r="S24" s="348">
        <f t="shared" si="10"/>
        <v>19399958.57860463</v>
      </c>
      <c r="T24" s="372">
        <f t="shared" si="10"/>
        <v>19856784.770347394</v>
      </c>
      <c r="U24" s="372">
        <f t="shared" si="10"/>
        <v>20324389.56774414</v>
      </c>
      <c r="V24" s="372">
        <f t="shared" si="10"/>
        <v>20803027.8202248</v>
      </c>
      <c r="W24" s="372">
        <f t="shared" si="10"/>
        <v>21292960.41616361</v>
      </c>
      <c r="X24" s="372">
        <f t="shared" si="10"/>
        <v>21794454.426308863</v>
      </c>
      <c r="Y24" s="372">
        <f t="shared" si="10"/>
        <v>22307783.25062751</v>
      </c>
      <c r="Z24" s="372">
        <f t="shared" si="10"/>
        <v>22833226.76864601</v>
      </c>
      <c r="AA24" s="372">
        <f t="shared" si="10"/>
        <v>23371071.493370846</v>
      </c>
      <c r="AB24" s="372">
        <f t="shared" si="10"/>
        <v>23921610.72887429</v>
      </c>
      <c r="AC24" s="372">
        <f t="shared" si="10"/>
        <v>0</v>
      </c>
      <c r="AD24" s="372">
        <f t="shared" si="10"/>
        <v>0</v>
      </c>
      <c r="AE24" s="372">
        <f t="shared" si="10"/>
        <v>0</v>
      </c>
      <c r="AF24" s="372">
        <f t="shared" si="10"/>
        <v>0</v>
      </c>
      <c r="AG24" s="372">
        <f t="shared" si="10"/>
        <v>0</v>
      </c>
      <c r="AH24" s="372">
        <f t="shared" si="10"/>
        <v>0</v>
      </c>
      <c r="AI24" s="348">
        <f t="shared" si="10"/>
        <v>0</v>
      </c>
      <c r="AJ24" s="372">
        <f t="shared" si="10"/>
        <v>0</v>
      </c>
      <c r="AK24" s="372">
        <f t="shared" si="10"/>
        <v>0</v>
      </c>
      <c r="AL24" s="356">
        <f t="shared" si="10"/>
        <v>0</v>
      </c>
      <c r="AM24" s="319"/>
      <c r="AN24" s="318"/>
      <c r="AQ24" s="270">
        <v>17</v>
      </c>
    </row>
    <row r="25" spans="1:43" ht="15">
      <c r="A25" s="484" t="s">
        <v>134</v>
      </c>
      <c r="B25" s="258"/>
      <c r="C25" s="251" t="s">
        <v>133</v>
      </c>
      <c r="D25" s="266"/>
      <c r="E25" s="318"/>
      <c r="F25" s="319"/>
      <c r="G25" s="391" t="s">
        <v>23</v>
      </c>
      <c r="H25" s="378"/>
      <c r="I25" s="261">
        <f>I49</f>
        <v>-12082500</v>
      </c>
      <c r="J25" s="255">
        <f aca="true" t="shared" si="11" ref="J25:AL25">J49</f>
        <v>-11731151.60173582</v>
      </c>
      <c r="K25" s="255">
        <f t="shared" si="11"/>
        <v>-11360935.794484852</v>
      </c>
      <c r="L25" s="255">
        <f t="shared" si="11"/>
        <v>-10970839.398384508</v>
      </c>
      <c r="M25" s="255">
        <f t="shared" si="11"/>
        <v>-10559794.825813577</v>
      </c>
      <c r="N25" s="255">
        <f t="shared" si="11"/>
        <v>-10126677.159695586</v>
      </c>
      <c r="O25" s="255">
        <f t="shared" si="11"/>
        <v>-9670301.074907059</v>
      </c>
      <c r="P25" s="255">
        <f t="shared" si="11"/>
        <v>-9189417.594365386</v>
      </c>
      <c r="Q25" s="255">
        <f t="shared" si="11"/>
        <v>-8682710.670918629</v>
      </c>
      <c r="R25" s="255">
        <f t="shared" si="11"/>
        <v>-8148793.585682779</v>
      </c>
      <c r="S25" s="331">
        <f t="shared" si="11"/>
        <v>-7586205.152969763</v>
      </c>
      <c r="T25" s="255">
        <f t="shared" si="11"/>
        <v>-6993405.721420059</v>
      </c>
      <c r="U25" s="255">
        <f t="shared" si="11"/>
        <v>-6368772.960396135</v>
      </c>
      <c r="V25" s="255">
        <f t="shared" si="11"/>
        <v>-5710597.420105227</v>
      </c>
      <c r="W25" s="255">
        <f t="shared" si="11"/>
        <v>-5017077.853300698</v>
      </c>
      <c r="X25" s="255">
        <f t="shared" si="11"/>
        <v>-4286316.285758765</v>
      </c>
      <c r="Y25" s="255">
        <f t="shared" si="11"/>
        <v>-3516312.822039831</v>
      </c>
      <c r="Z25" s="255">
        <f t="shared" si="11"/>
        <v>-2704960.172319189</v>
      </c>
      <c r="AA25" s="255">
        <f t="shared" si="11"/>
        <v>-1850037.885308549</v>
      </c>
      <c r="AB25" s="255">
        <f t="shared" si="11"/>
        <v>-949206.2714854379</v>
      </c>
      <c r="AC25" s="255">
        <f t="shared" si="11"/>
        <v>0</v>
      </c>
      <c r="AD25" s="255">
        <f t="shared" si="11"/>
        <v>0</v>
      </c>
      <c r="AE25" s="255">
        <f t="shared" si="11"/>
        <v>0</v>
      </c>
      <c r="AF25" s="255">
        <f t="shared" si="11"/>
        <v>0</v>
      </c>
      <c r="AG25" s="255">
        <f t="shared" si="11"/>
        <v>0</v>
      </c>
      <c r="AH25" s="255">
        <f t="shared" si="11"/>
        <v>0</v>
      </c>
      <c r="AI25" s="331">
        <f t="shared" si="11"/>
        <v>0</v>
      </c>
      <c r="AJ25" s="255">
        <f t="shared" si="11"/>
        <v>0</v>
      </c>
      <c r="AK25" s="255">
        <f t="shared" si="11"/>
        <v>0</v>
      </c>
      <c r="AL25" s="345">
        <f t="shared" si="11"/>
        <v>0</v>
      </c>
      <c r="AM25" s="319"/>
      <c r="AN25" s="318"/>
      <c r="AQ25" s="270">
        <v>18</v>
      </c>
    </row>
    <row r="26" spans="1:43" ht="15">
      <c r="A26" s="346" t="s">
        <v>8</v>
      </c>
      <c r="B26" s="359"/>
      <c r="C26" s="334"/>
      <c r="D26" s="267"/>
      <c r="E26" s="318"/>
      <c r="F26" s="319"/>
      <c r="G26" s="392" t="s">
        <v>24</v>
      </c>
      <c r="H26" s="377"/>
      <c r="I26" s="261">
        <f>I44</f>
        <v>-90000000</v>
      </c>
      <c r="J26" s="255">
        <f>J44</f>
        <v>-144000000</v>
      </c>
      <c r="K26" s="255">
        <f aca="true" t="shared" si="12" ref="K26:AL26">K44</f>
        <v>-86400000</v>
      </c>
      <c r="L26" s="255">
        <f t="shared" si="12"/>
        <v>-51840000</v>
      </c>
      <c r="M26" s="255">
        <f t="shared" si="12"/>
        <v>-51840000</v>
      </c>
      <c r="N26" s="255">
        <f t="shared" si="12"/>
        <v>-25920000</v>
      </c>
      <c r="O26" s="255">
        <f t="shared" si="12"/>
        <v>0</v>
      </c>
      <c r="P26" s="255">
        <f t="shared" si="12"/>
        <v>0</v>
      </c>
      <c r="Q26" s="255">
        <f t="shared" si="12"/>
        <v>0</v>
      </c>
      <c r="R26" s="255">
        <f t="shared" si="12"/>
        <v>0</v>
      </c>
      <c r="S26" s="331">
        <f t="shared" si="12"/>
        <v>0</v>
      </c>
      <c r="T26" s="255">
        <f t="shared" si="12"/>
        <v>0</v>
      </c>
      <c r="U26" s="255">
        <f t="shared" si="12"/>
        <v>0</v>
      </c>
      <c r="V26" s="255">
        <f t="shared" si="12"/>
        <v>0</v>
      </c>
      <c r="W26" s="255">
        <f t="shared" si="12"/>
        <v>0</v>
      </c>
      <c r="X26" s="255">
        <f t="shared" si="12"/>
        <v>0</v>
      </c>
      <c r="Y26" s="255">
        <f t="shared" si="12"/>
        <v>0</v>
      </c>
      <c r="Z26" s="255">
        <f t="shared" si="12"/>
        <v>0</v>
      </c>
      <c r="AA26" s="255">
        <f t="shared" si="12"/>
        <v>0</v>
      </c>
      <c r="AB26" s="255">
        <f t="shared" si="12"/>
        <v>0</v>
      </c>
      <c r="AC26" s="255">
        <f t="shared" si="12"/>
        <v>0</v>
      </c>
      <c r="AD26" s="255">
        <f t="shared" si="12"/>
        <v>0</v>
      </c>
      <c r="AE26" s="255">
        <f t="shared" si="12"/>
        <v>0</v>
      </c>
      <c r="AF26" s="255">
        <f t="shared" si="12"/>
        <v>0</v>
      </c>
      <c r="AG26" s="255">
        <f t="shared" si="12"/>
        <v>0</v>
      </c>
      <c r="AH26" s="255">
        <f t="shared" si="12"/>
        <v>0</v>
      </c>
      <c r="AI26" s="331">
        <f t="shared" si="12"/>
        <v>0</v>
      </c>
      <c r="AJ26" s="255">
        <f t="shared" si="12"/>
        <v>0</v>
      </c>
      <c r="AK26" s="255">
        <f t="shared" si="12"/>
        <v>0</v>
      </c>
      <c r="AL26" s="345">
        <f t="shared" si="12"/>
        <v>0</v>
      </c>
      <c r="AM26" s="319"/>
      <c r="AN26" s="318"/>
      <c r="AQ26" s="270">
        <v>19</v>
      </c>
    </row>
    <row r="27" spans="1:43" ht="15.75" thickBot="1">
      <c r="A27" s="325" t="s">
        <v>9</v>
      </c>
      <c r="B27" s="329"/>
      <c r="C27" s="304">
        <v>0.5</v>
      </c>
      <c r="E27" s="318"/>
      <c r="F27" s="319"/>
      <c r="G27" s="288" t="s">
        <v>25</v>
      </c>
      <c r="H27" s="376"/>
      <c r="I27" s="278">
        <f>SUM(I24:I26)</f>
        <v>-86808932.5</v>
      </c>
      <c r="J27" s="279">
        <f aca="true" t="shared" si="13" ref="J27:R27">SUM(J24:J26)</f>
        <v>-140077995.9868808</v>
      </c>
      <c r="K27" s="279">
        <f t="shared" si="13"/>
        <v>-81718686.46423474</v>
      </c>
      <c r="L27" s="279">
        <f t="shared" si="13"/>
        <v>-46369750.98807074</v>
      </c>
      <c r="M27" s="279">
        <f t="shared" si="13"/>
        <v>-45549876.11799979</v>
      </c>
      <c r="N27" s="279">
        <f t="shared" si="13"/>
        <v>-18777684.83996156</v>
      </c>
      <c r="O27" s="279">
        <f t="shared" si="13"/>
        <v>8005245.413019648</v>
      </c>
      <c r="P27" s="279">
        <f t="shared" si="13"/>
        <v>8902273.213538134</v>
      </c>
      <c r="Q27" s="279">
        <f t="shared" si="13"/>
        <v>9834941.300853584</v>
      </c>
      <c r="R27" s="279">
        <f t="shared" si="13"/>
        <v>10804868.456252757</v>
      </c>
      <c r="S27" s="339">
        <f>SUM(S24:S26)</f>
        <v>11813753.425634868</v>
      </c>
      <c r="T27" s="279">
        <f>SUM(T24:T26)</f>
        <v>12863379.048927335</v>
      </c>
      <c r="U27" s="279">
        <f>SUM(U24:U26)</f>
        <v>13955616.607348004</v>
      </c>
      <c r="V27" s="279">
        <f>SUM(V24:V26)</f>
        <v>15092430.400119573</v>
      </c>
      <c r="W27" s="279">
        <f>SUM(W24:W26)</f>
        <v>16275882.56286291</v>
      </c>
      <c r="X27" s="279">
        <f>SUM(X24:X26)</f>
        <v>17508138.1405501</v>
      </c>
      <c r="Y27" s="279">
        <f>SUM(Y24:Y26)</f>
        <v>18791470.42858768</v>
      </c>
      <c r="Z27" s="279">
        <f aca="true" t="shared" si="14" ref="Z27:AH27">SUM(Z24:Z26)</f>
        <v>20128266.59632682</v>
      </c>
      <c r="AA27" s="279">
        <f t="shared" si="14"/>
        <v>21521033.608062297</v>
      </c>
      <c r="AB27" s="279">
        <f t="shared" si="14"/>
        <v>22972404.45738885</v>
      </c>
      <c r="AC27" s="279">
        <f t="shared" si="14"/>
        <v>0</v>
      </c>
      <c r="AD27" s="279">
        <f t="shared" si="14"/>
        <v>0</v>
      </c>
      <c r="AE27" s="279">
        <f t="shared" si="14"/>
        <v>0</v>
      </c>
      <c r="AF27" s="279">
        <f t="shared" si="14"/>
        <v>0</v>
      </c>
      <c r="AG27" s="279">
        <f t="shared" si="14"/>
        <v>0</v>
      </c>
      <c r="AH27" s="279">
        <f t="shared" si="14"/>
        <v>0</v>
      </c>
      <c r="AI27" s="339">
        <f>SUM(AI24:AI26)</f>
        <v>0</v>
      </c>
      <c r="AJ27" s="279">
        <f>SUM(AJ24:AJ26)</f>
        <v>0</v>
      </c>
      <c r="AK27" s="279">
        <f>SUM(AK24:AK26)</f>
        <v>0</v>
      </c>
      <c r="AL27" s="353">
        <f>SUM(AL24:AL26)</f>
        <v>0</v>
      </c>
      <c r="AM27" s="319"/>
      <c r="AN27" s="318"/>
      <c r="AQ27" s="270">
        <v>20</v>
      </c>
    </row>
    <row r="28" spans="1:43" ht="15.75" thickTop="1">
      <c r="A28" s="321" t="s">
        <v>10</v>
      </c>
      <c r="B28" s="259"/>
      <c r="C28" s="317">
        <f>1-C27</f>
        <v>0.5</v>
      </c>
      <c r="D28" s="260"/>
      <c r="E28" s="318"/>
      <c r="F28" s="319"/>
      <c r="G28" s="291"/>
      <c r="H28" s="256"/>
      <c r="I28" s="379"/>
      <c r="J28" s="256"/>
      <c r="K28" s="256"/>
      <c r="L28" s="256"/>
      <c r="M28" s="256"/>
      <c r="N28" s="256"/>
      <c r="O28" s="256"/>
      <c r="P28" s="256"/>
      <c r="Q28" s="256"/>
      <c r="R28" s="256"/>
      <c r="S28" s="332"/>
      <c r="T28" s="256"/>
      <c r="U28" s="256"/>
      <c r="V28" s="256"/>
      <c r="W28" s="332"/>
      <c r="X28" s="332"/>
      <c r="Y28" s="332"/>
      <c r="Z28" s="256"/>
      <c r="AA28" s="256"/>
      <c r="AB28" s="256"/>
      <c r="AC28" s="256"/>
      <c r="AD28" s="256"/>
      <c r="AE28" s="256"/>
      <c r="AF28" s="256"/>
      <c r="AG28" s="256"/>
      <c r="AH28" s="256"/>
      <c r="AI28" s="332"/>
      <c r="AJ28" s="256"/>
      <c r="AK28" s="256"/>
      <c r="AL28" s="311"/>
      <c r="AM28" s="319"/>
      <c r="AN28" s="318"/>
      <c r="AQ28" s="270">
        <v>21</v>
      </c>
    </row>
    <row r="29" spans="1:43" ht="15">
      <c r="A29" s="325" t="s">
        <v>11</v>
      </c>
      <c r="B29" s="329"/>
      <c r="C29" s="603">
        <v>0.0537</v>
      </c>
      <c r="D29" s="260"/>
      <c r="E29" s="318"/>
      <c r="F29" s="319"/>
      <c r="G29" s="393" t="s">
        <v>140</v>
      </c>
      <c r="H29" s="256"/>
      <c r="I29" s="261">
        <f>IF($C$25="NO",0,C8*30%)</f>
        <v>135000000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0</v>
      </c>
      <c r="U29" s="261">
        <v>0</v>
      </c>
      <c r="V29" s="261">
        <v>0</v>
      </c>
      <c r="W29" s="261">
        <v>0</v>
      </c>
      <c r="X29" s="261">
        <v>0</v>
      </c>
      <c r="Y29" s="261">
        <v>0</v>
      </c>
      <c r="Z29" s="261">
        <v>0</v>
      </c>
      <c r="AA29" s="261">
        <v>0</v>
      </c>
      <c r="AB29" s="261">
        <v>0</v>
      </c>
      <c r="AC29" s="261">
        <v>0</v>
      </c>
      <c r="AD29" s="261">
        <v>0</v>
      </c>
      <c r="AE29" s="261">
        <v>0</v>
      </c>
      <c r="AF29" s="261">
        <v>0</v>
      </c>
      <c r="AG29" s="261">
        <v>0</v>
      </c>
      <c r="AH29" s="261">
        <v>0</v>
      </c>
      <c r="AI29" s="261">
        <v>0</v>
      </c>
      <c r="AJ29" s="261">
        <v>0</v>
      </c>
      <c r="AK29" s="261">
        <v>0</v>
      </c>
      <c r="AL29" s="316">
        <v>0</v>
      </c>
      <c r="AM29" s="319"/>
      <c r="AN29" s="318"/>
      <c r="AQ29" s="270">
        <v>22</v>
      </c>
    </row>
    <row r="30" spans="1:43" ht="15">
      <c r="A30" s="325" t="s">
        <v>12</v>
      </c>
      <c r="B30" s="329"/>
      <c r="C30" s="603">
        <v>0.0893</v>
      </c>
      <c r="D30" s="260"/>
      <c r="E30" s="318"/>
      <c r="F30" s="319"/>
      <c r="G30" s="393" t="s">
        <v>26</v>
      </c>
      <c r="H30" s="374"/>
      <c r="I30" s="381">
        <f>-MAX(MAX(I27*$C$32,0),0)</f>
        <v>0</v>
      </c>
      <c r="J30" s="381">
        <f aca="true" t="shared" si="15" ref="J30:AL30">-MAX(MAX(J27*$C$32,0),0)</f>
        <v>0</v>
      </c>
      <c r="K30" s="381">
        <f t="shared" si="15"/>
        <v>0</v>
      </c>
      <c r="L30" s="381">
        <f t="shared" si="15"/>
        <v>0</v>
      </c>
      <c r="M30" s="381">
        <f t="shared" si="15"/>
        <v>0</v>
      </c>
      <c r="N30" s="381">
        <f t="shared" si="15"/>
        <v>0</v>
      </c>
      <c r="O30" s="381">
        <f t="shared" si="15"/>
        <v>-3631779.712751689</v>
      </c>
      <c r="P30" s="381">
        <f t="shared" si="15"/>
        <v>-4038738.800151913</v>
      </c>
      <c r="Q30" s="381">
        <f t="shared" si="15"/>
        <v>-4461866.99466475</v>
      </c>
      <c r="R30" s="381">
        <f t="shared" si="15"/>
        <v>-4901898.69689047</v>
      </c>
      <c r="S30" s="381">
        <f t="shared" si="15"/>
        <v>-5359604.585374899</v>
      </c>
      <c r="T30" s="381">
        <f t="shared" si="15"/>
        <v>-5835793.490022109</v>
      </c>
      <c r="U30" s="381">
        <f t="shared" si="15"/>
        <v>-6331314.364338606</v>
      </c>
      <c r="V30" s="381">
        <f t="shared" si="15"/>
        <v>-6847058.361774247</v>
      </c>
      <c r="W30" s="381">
        <f t="shared" si="15"/>
        <v>-7383961.021706831</v>
      </c>
      <c r="X30" s="381">
        <f t="shared" si="15"/>
        <v>-7943004.570914066</v>
      </c>
      <c r="Y30" s="381">
        <f t="shared" si="15"/>
        <v>-8525220.346689515</v>
      </c>
      <c r="Z30" s="381">
        <f t="shared" si="15"/>
        <v>-9131691.34808857</v>
      </c>
      <c r="AA30" s="381">
        <f t="shared" si="15"/>
        <v>-9763554.922137663</v>
      </c>
      <c r="AB30" s="381">
        <f t="shared" si="15"/>
        <v>-10422005.592205888</v>
      </c>
      <c r="AC30" s="381">
        <f t="shared" si="15"/>
        <v>0</v>
      </c>
      <c r="AD30" s="381">
        <f t="shared" si="15"/>
        <v>0</v>
      </c>
      <c r="AE30" s="381">
        <f t="shared" si="15"/>
        <v>0</v>
      </c>
      <c r="AF30" s="381">
        <f t="shared" si="15"/>
        <v>0</v>
      </c>
      <c r="AG30" s="381">
        <f t="shared" si="15"/>
        <v>0</v>
      </c>
      <c r="AH30" s="381">
        <f t="shared" si="15"/>
        <v>0</v>
      </c>
      <c r="AI30" s="381">
        <f t="shared" si="15"/>
        <v>0</v>
      </c>
      <c r="AJ30" s="381">
        <f t="shared" si="15"/>
        <v>0</v>
      </c>
      <c r="AK30" s="381">
        <f t="shared" si="15"/>
        <v>0</v>
      </c>
      <c r="AL30" s="413">
        <f t="shared" si="15"/>
        <v>0</v>
      </c>
      <c r="AM30" s="319"/>
      <c r="AN30" s="318"/>
      <c r="AQ30" s="270">
        <v>23</v>
      </c>
    </row>
    <row r="31" spans="1:43" ht="15">
      <c r="A31" s="321" t="s">
        <v>13</v>
      </c>
      <c r="B31" s="329"/>
      <c r="C31" s="305">
        <v>0.023</v>
      </c>
      <c r="D31" s="271"/>
      <c r="E31" s="318"/>
      <c r="F31" s="319"/>
      <c r="G31" s="291" t="s">
        <v>27</v>
      </c>
      <c r="H31" s="256"/>
      <c r="I31" s="261">
        <f>I50</f>
        <v>-6542800.71255457</v>
      </c>
      <c r="J31" s="255">
        <f aca="true" t="shared" si="16" ref="J31:X31">J50</f>
        <v>-6894149.110818751</v>
      </c>
      <c r="K31" s="255">
        <f t="shared" si="16"/>
        <v>-7264364.918069718</v>
      </c>
      <c r="L31" s="255">
        <f t="shared" si="16"/>
        <v>-7654461.314170063</v>
      </c>
      <c r="M31" s="255">
        <f t="shared" si="16"/>
        <v>-8065505.886740994</v>
      </c>
      <c r="N31" s="255">
        <f t="shared" si="16"/>
        <v>-8498623.552858984</v>
      </c>
      <c r="O31" s="255">
        <f t="shared" si="16"/>
        <v>-8954999.637647511</v>
      </c>
      <c r="P31" s="255">
        <f t="shared" si="16"/>
        <v>-9435883.118189184</v>
      </c>
      <c r="Q31" s="255">
        <f t="shared" si="16"/>
        <v>-9942590.041635942</v>
      </c>
      <c r="R31" s="255">
        <f t="shared" si="16"/>
        <v>-10476507.12687179</v>
      </c>
      <c r="S31" s="331">
        <f t="shared" si="16"/>
        <v>-11039095.559584808</v>
      </c>
      <c r="T31" s="255">
        <f t="shared" si="16"/>
        <v>-11631894.991134511</v>
      </c>
      <c r="U31" s="255">
        <f t="shared" si="16"/>
        <v>-12256527.752158435</v>
      </c>
      <c r="V31" s="255">
        <f t="shared" si="16"/>
        <v>-12914703.292449344</v>
      </c>
      <c r="W31" s="331">
        <f t="shared" si="16"/>
        <v>-13608222.859253872</v>
      </c>
      <c r="X31" s="331">
        <f t="shared" si="16"/>
        <v>-14338984.426795805</v>
      </c>
      <c r="Y31" s="331">
        <f>Y50</f>
        <v>-15108987.890514739</v>
      </c>
      <c r="Z31" s="255">
        <f aca="true" t="shared" si="17" ref="Z31:AL31">Z50</f>
        <v>-15920340.540235382</v>
      </c>
      <c r="AA31" s="255">
        <f t="shared" si="17"/>
        <v>-16775262.827246021</v>
      </c>
      <c r="AB31" s="255">
        <f t="shared" si="17"/>
        <v>-17676094.441069134</v>
      </c>
      <c r="AC31" s="255">
        <f t="shared" si="17"/>
        <v>0</v>
      </c>
      <c r="AD31" s="255">
        <f t="shared" si="17"/>
        <v>0</v>
      </c>
      <c r="AE31" s="255">
        <f t="shared" si="17"/>
        <v>0</v>
      </c>
      <c r="AF31" s="255">
        <f t="shared" si="17"/>
        <v>0</v>
      </c>
      <c r="AG31" s="255">
        <f t="shared" si="17"/>
        <v>0</v>
      </c>
      <c r="AH31" s="255">
        <f t="shared" si="17"/>
        <v>0</v>
      </c>
      <c r="AI31" s="331">
        <f t="shared" si="17"/>
        <v>0</v>
      </c>
      <c r="AJ31" s="255">
        <f t="shared" si="17"/>
        <v>0</v>
      </c>
      <c r="AK31" s="255">
        <f t="shared" si="17"/>
        <v>0</v>
      </c>
      <c r="AL31" s="345">
        <f t="shared" si="17"/>
        <v>0</v>
      </c>
      <c r="AM31" s="319"/>
      <c r="AN31" s="318"/>
      <c r="AQ31" s="270">
        <v>24</v>
      </c>
    </row>
    <row r="32" spans="1:43" ht="15.75" thickBot="1">
      <c r="A32" s="325" t="s">
        <v>14</v>
      </c>
      <c r="B32" s="329"/>
      <c r="C32" s="305">
        <v>0.453675</v>
      </c>
      <c r="D32" s="271"/>
      <c r="E32" s="318"/>
      <c r="F32" s="319"/>
      <c r="G32" s="292" t="s">
        <v>40</v>
      </c>
      <c r="H32" s="382"/>
      <c r="I32" s="274">
        <f>I24+I25+I30+I31+I29</f>
        <v>131648266.78744543</v>
      </c>
      <c r="J32" s="275">
        <f>J24+J25+J30+J31+J29</f>
        <v>-2972145.0976995714</v>
      </c>
      <c r="K32" s="275">
        <f aca="true" t="shared" si="18" ref="K32:AL32">K24+K25+K30+K31+K29</f>
        <v>-2583051.3823044635</v>
      </c>
      <c r="L32" s="275">
        <f t="shared" si="18"/>
        <v>-2184212.302240804</v>
      </c>
      <c r="M32" s="275">
        <f t="shared" si="18"/>
        <v>-1775382.0047407858</v>
      </c>
      <c r="N32" s="275">
        <f t="shared" si="18"/>
        <v>-1356308.3928205408</v>
      </c>
      <c r="O32" s="275">
        <f t="shared" si="18"/>
        <v>-4581533.937379552</v>
      </c>
      <c r="P32" s="275">
        <f t="shared" si="18"/>
        <v>-4572348.704802962</v>
      </c>
      <c r="Q32" s="275">
        <f t="shared" si="18"/>
        <v>-4569515.735447108</v>
      </c>
      <c r="R32" s="275">
        <f t="shared" si="18"/>
        <v>-4573537.367509503</v>
      </c>
      <c r="S32" s="355">
        <f t="shared" si="18"/>
        <v>-4584946.719324838</v>
      </c>
      <c r="T32" s="275">
        <f t="shared" si="18"/>
        <v>-4604309.432229285</v>
      </c>
      <c r="U32" s="275">
        <f t="shared" si="18"/>
        <v>-4632225.509149036</v>
      </c>
      <c r="V32" s="275">
        <f t="shared" si="18"/>
        <v>-4669331.254104018</v>
      </c>
      <c r="W32" s="355">
        <f t="shared" si="18"/>
        <v>-4716301.318097793</v>
      </c>
      <c r="X32" s="355">
        <f t="shared" si="18"/>
        <v>-4773850.857159773</v>
      </c>
      <c r="Y32" s="355">
        <f t="shared" si="18"/>
        <v>-4842737.808616575</v>
      </c>
      <c r="Z32" s="275">
        <f t="shared" si="18"/>
        <v>-4923765.291997131</v>
      </c>
      <c r="AA32" s="275">
        <f t="shared" si="18"/>
        <v>-5017784.141321387</v>
      </c>
      <c r="AB32" s="275">
        <f t="shared" si="18"/>
        <v>-5125695.575886169</v>
      </c>
      <c r="AC32" s="275">
        <f t="shared" si="18"/>
        <v>0</v>
      </c>
      <c r="AD32" s="275">
        <f t="shared" si="18"/>
        <v>0</v>
      </c>
      <c r="AE32" s="275">
        <f t="shared" si="18"/>
        <v>0</v>
      </c>
      <c r="AF32" s="275">
        <f t="shared" si="18"/>
        <v>0</v>
      </c>
      <c r="AG32" s="275">
        <f t="shared" si="18"/>
        <v>0</v>
      </c>
      <c r="AH32" s="275">
        <f t="shared" si="18"/>
        <v>0</v>
      </c>
      <c r="AI32" s="355">
        <f t="shared" si="18"/>
        <v>0</v>
      </c>
      <c r="AJ32" s="275">
        <f t="shared" si="18"/>
        <v>0</v>
      </c>
      <c r="AK32" s="275">
        <f t="shared" si="18"/>
        <v>0</v>
      </c>
      <c r="AL32" s="336">
        <f t="shared" si="18"/>
        <v>0</v>
      </c>
      <c r="AM32" s="319"/>
      <c r="AN32" s="318"/>
      <c r="AQ32" s="270">
        <v>25</v>
      </c>
    </row>
    <row r="33" spans="1:43" ht="15.75" thickTop="1">
      <c r="A33" s="321" t="s">
        <v>75</v>
      </c>
      <c r="B33" s="329"/>
      <c r="C33" s="313">
        <v>20</v>
      </c>
      <c r="D33" s="271"/>
      <c r="E33" s="318"/>
      <c r="F33" s="319"/>
      <c r="G33" s="394"/>
      <c r="H33" s="383"/>
      <c r="I33" s="380"/>
      <c r="J33" s="372"/>
      <c r="K33" s="372"/>
      <c r="L33" s="372"/>
      <c r="M33" s="372"/>
      <c r="N33" s="372"/>
      <c r="O33" s="372"/>
      <c r="P33" s="372"/>
      <c r="Q33" s="372"/>
      <c r="R33" s="372"/>
      <c r="S33" s="348"/>
      <c r="T33" s="372"/>
      <c r="U33" s="372"/>
      <c r="V33" s="372"/>
      <c r="W33" s="348"/>
      <c r="X33" s="348"/>
      <c r="Y33" s="348"/>
      <c r="Z33" s="372"/>
      <c r="AA33" s="372"/>
      <c r="AB33" s="372"/>
      <c r="AC33" s="372"/>
      <c r="AD33" s="372"/>
      <c r="AE33" s="372"/>
      <c r="AF33" s="372"/>
      <c r="AG33" s="372"/>
      <c r="AH33" s="372"/>
      <c r="AI33" s="348"/>
      <c r="AJ33" s="372"/>
      <c r="AK33" s="372"/>
      <c r="AL33" s="356"/>
      <c r="AM33" s="319"/>
      <c r="AN33" s="318"/>
      <c r="AQ33" s="270">
        <v>26</v>
      </c>
    </row>
    <row r="34" spans="1:43" ht="15">
      <c r="A34" s="325" t="s">
        <v>44</v>
      </c>
      <c r="B34" s="263"/>
      <c r="C34" s="351" t="s">
        <v>45</v>
      </c>
      <c r="D34" s="271"/>
      <c r="E34" s="318"/>
      <c r="F34" s="319"/>
      <c r="G34" s="291" t="s">
        <v>28</v>
      </c>
      <c r="H34" s="389"/>
      <c r="I34" s="371">
        <f aca="true" t="shared" si="19" ref="I34:AL34">IF($C$22&lt;&gt;0,MAX((($C$22+1-I8)/$C$22),0),0)*($C$9*$C$10/100)*(IF(I8&gt;$C$33,0,$C$21))</f>
        <v>56672412.025000036</v>
      </c>
      <c r="J34" s="371">
        <f t="shared" si="19"/>
        <v>45337929.620000035</v>
      </c>
      <c r="K34" s="371">
        <f t="shared" si="19"/>
        <v>34003447.21500002</v>
      </c>
      <c r="L34" s="371">
        <f t="shared" si="19"/>
        <v>22668964.810000017</v>
      </c>
      <c r="M34" s="371">
        <f t="shared" si="19"/>
        <v>11334482.405000009</v>
      </c>
      <c r="N34" s="371">
        <f t="shared" si="19"/>
        <v>0</v>
      </c>
      <c r="O34" s="371">
        <f t="shared" si="19"/>
        <v>0</v>
      </c>
      <c r="P34" s="371">
        <f t="shared" si="19"/>
        <v>0</v>
      </c>
      <c r="Q34" s="371">
        <f t="shared" si="19"/>
        <v>0</v>
      </c>
      <c r="R34" s="371">
        <f t="shared" si="19"/>
        <v>0</v>
      </c>
      <c r="S34" s="371">
        <f t="shared" si="19"/>
        <v>0</v>
      </c>
      <c r="T34" s="371">
        <f t="shared" si="19"/>
        <v>0</v>
      </c>
      <c r="U34" s="371">
        <f t="shared" si="19"/>
        <v>0</v>
      </c>
      <c r="V34" s="371">
        <f t="shared" si="19"/>
        <v>0</v>
      </c>
      <c r="W34" s="371">
        <f t="shared" si="19"/>
        <v>0</v>
      </c>
      <c r="X34" s="371">
        <f t="shared" si="19"/>
        <v>0</v>
      </c>
      <c r="Y34" s="371">
        <f t="shared" si="19"/>
        <v>0</v>
      </c>
      <c r="Z34" s="371">
        <f t="shared" si="19"/>
        <v>0</v>
      </c>
      <c r="AA34" s="371">
        <f t="shared" si="19"/>
        <v>0</v>
      </c>
      <c r="AB34" s="371">
        <f t="shared" si="19"/>
        <v>0</v>
      </c>
      <c r="AC34" s="371">
        <f t="shared" si="19"/>
        <v>0</v>
      </c>
      <c r="AD34" s="371">
        <f t="shared" si="19"/>
        <v>0</v>
      </c>
      <c r="AE34" s="371">
        <f t="shared" si="19"/>
        <v>0</v>
      </c>
      <c r="AF34" s="371">
        <f t="shared" si="19"/>
        <v>0</v>
      </c>
      <c r="AG34" s="371">
        <f t="shared" si="19"/>
        <v>0</v>
      </c>
      <c r="AH34" s="371">
        <f t="shared" si="19"/>
        <v>0</v>
      </c>
      <c r="AI34" s="371">
        <f t="shared" si="19"/>
        <v>0</v>
      </c>
      <c r="AJ34" s="371">
        <f t="shared" si="19"/>
        <v>0</v>
      </c>
      <c r="AK34" s="371">
        <f t="shared" si="19"/>
        <v>0</v>
      </c>
      <c r="AL34" s="384">
        <f t="shared" si="19"/>
        <v>0</v>
      </c>
      <c r="AM34" s="319"/>
      <c r="AN34" s="318"/>
      <c r="AQ34" s="270">
        <v>27</v>
      </c>
    </row>
    <row r="35" spans="1:43" ht="15">
      <c r="A35" s="321" t="s">
        <v>15</v>
      </c>
      <c r="B35" s="329"/>
      <c r="C35" s="313">
        <v>5</v>
      </c>
      <c r="D35" s="271"/>
      <c r="E35" s="318"/>
      <c r="F35" s="319"/>
      <c r="G35" s="182" t="s">
        <v>26</v>
      </c>
      <c r="H35" s="389"/>
      <c r="I35" s="371">
        <f aca="true" t="shared" si="20" ref="I35:AL35">IF($C$24="NO",0,-I34*$C$32)</f>
        <v>-25710856.525441892</v>
      </c>
      <c r="J35" s="371">
        <f t="shared" si="20"/>
        <v>-20568685.220353514</v>
      </c>
      <c r="K35" s="371">
        <f t="shared" si="20"/>
        <v>-15426513.915265134</v>
      </c>
      <c r="L35" s="371">
        <f t="shared" si="20"/>
        <v>-10284342.610176757</v>
      </c>
      <c r="M35" s="371">
        <f t="shared" si="20"/>
        <v>-5142171.3050883785</v>
      </c>
      <c r="N35" s="371">
        <f t="shared" si="20"/>
        <v>0</v>
      </c>
      <c r="O35" s="371">
        <f t="shared" si="20"/>
        <v>0</v>
      </c>
      <c r="P35" s="371">
        <f t="shared" si="20"/>
        <v>0</v>
      </c>
      <c r="Q35" s="371">
        <f t="shared" si="20"/>
        <v>0</v>
      </c>
      <c r="R35" s="371">
        <f t="shared" si="20"/>
        <v>0</v>
      </c>
      <c r="S35" s="371">
        <f t="shared" si="20"/>
        <v>0</v>
      </c>
      <c r="T35" s="371">
        <f t="shared" si="20"/>
        <v>0</v>
      </c>
      <c r="U35" s="371">
        <f t="shared" si="20"/>
        <v>0</v>
      </c>
      <c r="V35" s="371">
        <f t="shared" si="20"/>
        <v>0</v>
      </c>
      <c r="W35" s="371">
        <f t="shared" si="20"/>
        <v>0</v>
      </c>
      <c r="X35" s="371">
        <f t="shared" si="20"/>
        <v>0</v>
      </c>
      <c r="Y35" s="371">
        <f t="shared" si="20"/>
        <v>0</v>
      </c>
      <c r="Z35" s="371">
        <f t="shared" si="20"/>
        <v>0</v>
      </c>
      <c r="AA35" s="371">
        <f t="shared" si="20"/>
        <v>0</v>
      </c>
      <c r="AB35" s="371">
        <f t="shared" si="20"/>
        <v>0</v>
      </c>
      <c r="AC35" s="371">
        <f t="shared" si="20"/>
        <v>0</v>
      </c>
      <c r="AD35" s="371">
        <f t="shared" si="20"/>
        <v>0</v>
      </c>
      <c r="AE35" s="371">
        <f t="shared" si="20"/>
        <v>0</v>
      </c>
      <c r="AF35" s="371">
        <f t="shared" si="20"/>
        <v>0</v>
      </c>
      <c r="AG35" s="371">
        <f t="shared" si="20"/>
        <v>0</v>
      </c>
      <c r="AH35" s="371">
        <f t="shared" si="20"/>
        <v>0</v>
      </c>
      <c r="AI35" s="371">
        <f t="shared" si="20"/>
        <v>0</v>
      </c>
      <c r="AJ35" s="371">
        <f t="shared" si="20"/>
        <v>0</v>
      </c>
      <c r="AK35" s="371">
        <f t="shared" si="20"/>
        <v>0</v>
      </c>
      <c r="AL35" s="384">
        <f t="shared" si="20"/>
        <v>0</v>
      </c>
      <c r="AM35" s="319"/>
      <c r="AN35" s="318"/>
      <c r="AQ35" s="270">
        <v>28</v>
      </c>
    </row>
    <row r="36" spans="1:43" ht="15.75" thickBot="1">
      <c r="A36" s="346" t="s">
        <v>4</v>
      </c>
      <c r="B36" s="359"/>
      <c r="C36" s="334"/>
      <c r="E36" s="318"/>
      <c r="F36" s="319"/>
      <c r="G36" s="292" t="s">
        <v>41</v>
      </c>
      <c r="H36" s="382"/>
      <c r="I36" s="276">
        <f>I34+I32+I35</f>
        <v>162609822.28700358</v>
      </c>
      <c r="J36" s="277">
        <f aca="true" t="shared" si="21" ref="J36:AL36">J34+J32+J35</f>
        <v>21797099.301946953</v>
      </c>
      <c r="K36" s="277">
        <f t="shared" si="21"/>
        <v>15993881.917430421</v>
      </c>
      <c r="L36" s="277">
        <f t="shared" si="21"/>
        <v>10200409.897582456</v>
      </c>
      <c r="M36" s="277">
        <f t="shared" si="21"/>
        <v>4416929.095170844</v>
      </c>
      <c r="N36" s="277">
        <f>N34+N32+N35</f>
        <v>-1356308.3928205408</v>
      </c>
      <c r="O36" s="277">
        <f t="shared" si="21"/>
        <v>-4581533.937379552</v>
      </c>
      <c r="P36" s="277">
        <f t="shared" si="21"/>
        <v>-4572348.704802962</v>
      </c>
      <c r="Q36" s="277">
        <f t="shared" si="21"/>
        <v>-4569515.735447108</v>
      </c>
      <c r="R36" s="277">
        <f t="shared" si="21"/>
        <v>-4573537.367509503</v>
      </c>
      <c r="S36" s="352">
        <f t="shared" si="21"/>
        <v>-4584946.719324838</v>
      </c>
      <c r="T36" s="277">
        <f t="shared" si="21"/>
        <v>-4604309.432229285</v>
      </c>
      <c r="U36" s="277">
        <f t="shared" si="21"/>
        <v>-4632225.509149036</v>
      </c>
      <c r="V36" s="277">
        <f t="shared" si="21"/>
        <v>-4669331.254104018</v>
      </c>
      <c r="W36" s="352">
        <f t="shared" si="21"/>
        <v>-4716301.318097793</v>
      </c>
      <c r="X36" s="352">
        <f t="shared" si="21"/>
        <v>-4773850.857159773</v>
      </c>
      <c r="Y36" s="352">
        <f t="shared" si="21"/>
        <v>-4842737.808616575</v>
      </c>
      <c r="Z36" s="277">
        <f t="shared" si="21"/>
        <v>-4923765.291997131</v>
      </c>
      <c r="AA36" s="277">
        <f t="shared" si="21"/>
        <v>-5017784.141321387</v>
      </c>
      <c r="AB36" s="277">
        <f t="shared" si="21"/>
        <v>-5125695.575886169</v>
      </c>
      <c r="AC36" s="277">
        <f t="shared" si="21"/>
        <v>0</v>
      </c>
      <c r="AD36" s="277">
        <f t="shared" si="21"/>
        <v>0</v>
      </c>
      <c r="AE36" s="277">
        <f t="shared" si="21"/>
        <v>0</v>
      </c>
      <c r="AF36" s="277">
        <f t="shared" si="21"/>
        <v>0</v>
      </c>
      <c r="AG36" s="277">
        <f t="shared" si="21"/>
        <v>0</v>
      </c>
      <c r="AH36" s="277">
        <f t="shared" si="21"/>
        <v>0</v>
      </c>
      <c r="AI36" s="352">
        <f t="shared" si="21"/>
        <v>0</v>
      </c>
      <c r="AJ36" s="277">
        <f t="shared" si="21"/>
        <v>0</v>
      </c>
      <c r="AK36" s="277">
        <f t="shared" si="21"/>
        <v>0</v>
      </c>
      <c r="AL36" s="349">
        <f t="shared" si="21"/>
        <v>0</v>
      </c>
      <c r="AM36" s="319"/>
      <c r="AN36" s="318"/>
      <c r="AQ36" s="270">
        <v>29</v>
      </c>
    </row>
    <row r="37" spans="1:43" ht="15.75" thickTop="1">
      <c r="A37" s="325" t="s">
        <v>5</v>
      </c>
      <c r="B37" s="258" t="s">
        <v>89</v>
      </c>
      <c r="C37" s="302">
        <f>1%*C8</f>
        <v>4500000</v>
      </c>
      <c r="E37" s="318"/>
      <c r="F37" s="319"/>
      <c r="G37" s="394"/>
      <c r="H37" s="383"/>
      <c r="I37" s="381"/>
      <c r="J37" s="371"/>
      <c r="K37" s="371"/>
      <c r="L37" s="371"/>
      <c r="M37" s="371"/>
      <c r="N37" s="371"/>
      <c r="O37" s="371"/>
      <c r="P37" s="371"/>
      <c r="Q37" s="371"/>
      <c r="R37" s="371"/>
      <c r="S37" s="341"/>
      <c r="T37" s="371"/>
      <c r="U37" s="371"/>
      <c r="V37" s="371"/>
      <c r="W37" s="341"/>
      <c r="X37" s="341"/>
      <c r="Y37" s="341"/>
      <c r="Z37" s="371"/>
      <c r="AA37" s="371"/>
      <c r="AB37" s="371"/>
      <c r="AC37" s="371"/>
      <c r="AD37" s="371"/>
      <c r="AE37" s="371"/>
      <c r="AF37" s="371"/>
      <c r="AG37" s="371"/>
      <c r="AH37" s="371"/>
      <c r="AI37" s="341"/>
      <c r="AJ37" s="371"/>
      <c r="AK37" s="371"/>
      <c r="AL37" s="384"/>
      <c r="AM37" s="319"/>
      <c r="AN37" s="318"/>
      <c r="AQ37" s="270">
        <v>30</v>
      </c>
    </row>
    <row r="38" spans="1:40" ht="15.75" thickBot="1">
      <c r="A38" s="325" t="s">
        <v>6</v>
      </c>
      <c r="B38" s="258" t="s">
        <v>89</v>
      </c>
      <c r="C38" s="302">
        <v>0</v>
      </c>
      <c r="D38" s="268"/>
      <c r="E38" s="318"/>
      <c r="F38" s="319"/>
      <c r="G38" s="291" t="s">
        <v>38</v>
      </c>
      <c r="H38" s="390"/>
      <c r="I38" s="272">
        <f aca="true" t="shared" si="22" ref="I38:AL38">IF(I8&gt;$C$33,0,(I32)/(1+$C$30)^(I8-0.5))</f>
        <v>126136679.44111264</v>
      </c>
      <c r="J38" s="272">
        <f t="shared" si="22"/>
        <v>-2614259.84417467</v>
      </c>
      <c r="K38" s="272">
        <f t="shared" si="22"/>
        <v>-2085759.7683018416</v>
      </c>
      <c r="L38" s="272">
        <f t="shared" si="22"/>
        <v>-1619118.3177291257</v>
      </c>
      <c r="M38" s="272">
        <f t="shared" si="22"/>
        <v>-1208169.9989662284</v>
      </c>
      <c r="N38" s="272">
        <f t="shared" si="22"/>
        <v>-847319.4569320008</v>
      </c>
      <c r="O38" s="272">
        <f t="shared" si="22"/>
        <v>-2627556.929130509</v>
      </c>
      <c r="P38" s="272">
        <f t="shared" si="22"/>
        <v>-2407315.802430299</v>
      </c>
      <c r="Q38" s="272">
        <f t="shared" si="22"/>
        <v>-2208596.585003214</v>
      </c>
      <c r="R38" s="272">
        <f t="shared" si="22"/>
        <v>-2029321.9236834925</v>
      </c>
      <c r="S38" s="272">
        <f t="shared" si="22"/>
        <v>-1867607.0516257042</v>
      </c>
      <c r="T38" s="272">
        <f t="shared" si="22"/>
        <v>-1721742.5437529758</v>
      </c>
      <c r="U38" s="272">
        <f t="shared" si="22"/>
        <v>-1590178.5774812</v>
      </c>
      <c r="V38" s="272">
        <f t="shared" si="22"/>
        <v>-1471510.5696675417</v>
      </c>
      <c r="W38" s="272">
        <f t="shared" si="22"/>
        <v>-1364466.0716564206</v>
      </c>
      <c r="X38" s="272">
        <f t="shared" si="22"/>
        <v>-1267892.8143043683</v>
      </c>
      <c r="Y38" s="272">
        <f t="shared" si="22"/>
        <v>-1180747.8040331004</v>
      </c>
      <c r="Z38" s="272">
        <f t="shared" si="22"/>
        <v>-1102087.3793581333</v>
      </c>
      <c r="AA38" s="272">
        <f t="shared" si="22"/>
        <v>-1031058.1450322994</v>
      </c>
      <c r="AB38" s="272">
        <f t="shared" si="22"/>
        <v>-966888.707988633</v>
      </c>
      <c r="AC38" s="272">
        <f t="shared" si="22"/>
        <v>0</v>
      </c>
      <c r="AD38" s="272">
        <f t="shared" si="22"/>
        <v>0</v>
      </c>
      <c r="AE38" s="272">
        <f t="shared" si="22"/>
        <v>0</v>
      </c>
      <c r="AF38" s="272">
        <f t="shared" si="22"/>
        <v>0</v>
      </c>
      <c r="AG38" s="272">
        <f t="shared" si="22"/>
        <v>0</v>
      </c>
      <c r="AH38" s="272">
        <f t="shared" si="22"/>
        <v>0</v>
      </c>
      <c r="AI38" s="272">
        <f t="shared" si="22"/>
        <v>0</v>
      </c>
      <c r="AJ38" s="272">
        <f t="shared" si="22"/>
        <v>0</v>
      </c>
      <c r="AK38" s="272">
        <f t="shared" si="22"/>
        <v>0</v>
      </c>
      <c r="AL38" s="350">
        <f t="shared" si="22"/>
        <v>0</v>
      </c>
      <c r="AM38" s="319"/>
      <c r="AN38" s="318"/>
    </row>
    <row r="39" spans="1:40" ht="16.5" thickBot="1" thickTop="1">
      <c r="A39" s="325" t="s">
        <v>7</v>
      </c>
      <c r="B39" s="258" t="s">
        <v>89</v>
      </c>
      <c r="C39" s="302">
        <v>0</v>
      </c>
      <c r="D39" s="268"/>
      <c r="E39" s="318"/>
      <c r="F39" s="319"/>
      <c r="G39" s="291" t="s">
        <v>39</v>
      </c>
      <c r="H39" s="390"/>
      <c r="I39" s="272">
        <f aca="true" t="shared" si="23" ref="I39:AL39">IF(I8&gt;$C$33,0,(I36)/(1+$C$30)^(I8-0.5))</f>
        <v>155801998.22082347</v>
      </c>
      <c r="J39" s="272">
        <f t="shared" si="23"/>
        <v>19172442.64712126</v>
      </c>
      <c r="K39" s="272">
        <f t="shared" si="23"/>
        <v>12914723.907886485</v>
      </c>
      <c r="L39" s="272">
        <f t="shared" si="23"/>
        <v>7561385.171476989</v>
      </c>
      <c r="M39" s="272">
        <f t="shared" si="23"/>
        <v>3005776.3377665887</v>
      </c>
      <c r="N39" s="272">
        <f t="shared" si="23"/>
        <v>-847319.4569320008</v>
      </c>
      <c r="O39" s="272">
        <f t="shared" si="23"/>
        <v>-2627556.929130509</v>
      </c>
      <c r="P39" s="272">
        <f t="shared" si="23"/>
        <v>-2407315.802430299</v>
      </c>
      <c r="Q39" s="272">
        <f t="shared" si="23"/>
        <v>-2208596.585003214</v>
      </c>
      <c r="R39" s="272">
        <f t="shared" si="23"/>
        <v>-2029321.9236834925</v>
      </c>
      <c r="S39" s="272">
        <f t="shared" si="23"/>
        <v>-1867607.0516257042</v>
      </c>
      <c r="T39" s="272">
        <f t="shared" si="23"/>
        <v>-1721742.5437529758</v>
      </c>
      <c r="U39" s="272">
        <f t="shared" si="23"/>
        <v>-1590178.5774812</v>
      </c>
      <c r="V39" s="272">
        <f t="shared" si="23"/>
        <v>-1471510.5696675417</v>
      </c>
      <c r="W39" s="272">
        <f t="shared" si="23"/>
        <v>-1364466.0716564206</v>
      </c>
      <c r="X39" s="272">
        <f t="shared" si="23"/>
        <v>-1267892.8143043683</v>
      </c>
      <c r="Y39" s="272">
        <f t="shared" si="23"/>
        <v>-1180747.8040331004</v>
      </c>
      <c r="Z39" s="272">
        <f t="shared" si="23"/>
        <v>-1102087.3793581333</v>
      </c>
      <c r="AA39" s="272">
        <f t="shared" si="23"/>
        <v>-1031058.1450322994</v>
      </c>
      <c r="AB39" s="272">
        <f t="shared" si="23"/>
        <v>-966888.707988633</v>
      </c>
      <c r="AC39" s="272">
        <f t="shared" si="23"/>
        <v>0</v>
      </c>
      <c r="AD39" s="272">
        <f t="shared" si="23"/>
        <v>0</v>
      </c>
      <c r="AE39" s="272">
        <f t="shared" si="23"/>
        <v>0</v>
      </c>
      <c r="AF39" s="272">
        <f t="shared" si="23"/>
        <v>0</v>
      </c>
      <c r="AG39" s="272">
        <f t="shared" si="23"/>
        <v>0</v>
      </c>
      <c r="AH39" s="272">
        <f t="shared" si="23"/>
        <v>0</v>
      </c>
      <c r="AI39" s="272">
        <f t="shared" si="23"/>
        <v>0</v>
      </c>
      <c r="AJ39" s="272">
        <f t="shared" si="23"/>
        <v>0</v>
      </c>
      <c r="AK39" s="272">
        <f t="shared" si="23"/>
        <v>0</v>
      </c>
      <c r="AL39" s="350">
        <f t="shared" si="23"/>
        <v>0</v>
      </c>
      <c r="AM39" s="319"/>
      <c r="AN39" s="318"/>
    </row>
    <row r="40" spans="1:43" ht="16.5" thickBot="1" thickTop="1">
      <c r="A40" s="484" t="s">
        <v>142</v>
      </c>
      <c r="B40" s="258" t="s">
        <v>89</v>
      </c>
      <c r="C40" s="302">
        <v>0</v>
      </c>
      <c r="D40" s="268"/>
      <c r="E40" s="318"/>
      <c r="F40" s="319"/>
      <c r="G40" s="293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330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09"/>
      <c r="AM40" s="319"/>
      <c r="AN40" s="318"/>
      <c r="AQ40" s="270" t="s">
        <v>99</v>
      </c>
    </row>
    <row r="41" spans="1:43" ht="15.75" thickBot="1">
      <c r="A41" s="346" t="s">
        <v>35</v>
      </c>
      <c r="B41" s="411"/>
      <c r="C41" s="257"/>
      <c r="E41" s="318"/>
      <c r="F41" s="319"/>
      <c r="G41" s="338" t="s">
        <v>24</v>
      </c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4"/>
      <c r="AM41" s="319"/>
      <c r="AN41" s="318"/>
      <c r="AQ41" s="408">
        <f>'ICAP Price&amp;Impact'!N50</f>
        <v>-0.013191</v>
      </c>
    </row>
    <row r="42" spans="1:40" ht="15">
      <c r="A42" s="325" t="s">
        <v>90</v>
      </c>
      <c r="B42" s="254"/>
      <c r="C42" s="305">
        <f>((1+C29)/(1+C$31))-1</f>
        <v>0.030009775171065733</v>
      </c>
      <c r="E42" s="318"/>
      <c r="F42" s="319"/>
      <c r="G42" s="298" t="s">
        <v>43</v>
      </c>
      <c r="H42" s="396"/>
      <c r="I42" s="367">
        <f>IF($C$34="MACRS",VLOOKUP($C$35,'Depreciation Tables'!$B$35:$AF$40,I8+1),IF($C$34="StraightLine",VLOOKUP($C$35,'Depreciation Tables'!$B$3:$AF$32,I8+1),VLOOKUP($C$35,'Depreciation Tables'!$B$43:$AF$44,I8+1)))</f>
        <v>0.2</v>
      </c>
      <c r="J42" s="367">
        <f>IF($C$34="MACRS",VLOOKUP($C$35,'Depreciation Tables'!$B$35:$AF$40,J8+1),IF($C$34="StraightLine",VLOOKUP($C$35,'Depreciation Tables'!$B$3:$AF$32,J8+1),VLOOKUP($C$35,'Depreciation Tables'!$B$43:$AF$44,J8+1)))</f>
        <v>0.32</v>
      </c>
      <c r="K42" s="367">
        <f>IF($C$34="MACRS",VLOOKUP($C$35,'Depreciation Tables'!$B$35:$AF$40,K8+1),IF($C$34="StraightLine",VLOOKUP($C$35,'Depreciation Tables'!$B$3:$AF$32,K8+1),VLOOKUP($C$35,'Depreciation Tables'!$B$43:$AF$44,K8+1)))</f>
        <v>0.192</v>
      </c>
      <c r="L42" s="367">
        <f>IF($C$34="MACRS",VLOOKUP($C$35,'Depreciation Tables'!$B$35:$AF$40,L8+1),IF($C$34="StraightLine",VLOOKUP($C$35,'Depreciation Tables'!$B$3:$AF$32,L8+1),VLOOKUP($C$35,'Depreciation Tables'!$B$43:$AF$44,L8+1)))</f>
        <v>0.1152</v>
      </c>
      <c r="M42" s="367">
        <f>IF($C$34="MACRS",VLOOKUP($C$35,'Depreciation Tables'!$B$35:$AF$40,M8+1),IF($C$34="StraightLine",VLOOKUP($C$35,'Depreciation Tables'!$B$3:$AF$32,M8+1),VLOOKUP($C$35,'Depreciation Tables'!$B$43:$AF$44,M8+1)))</f>
        <v>0.1152</v>
      </c>
      <c r="N42" s="367">
        <f>IF($C$34="MACRS",VLOOKUP($C$35,'Depreciation Tables'!$B$35:$AF$40,N8+1),IF($C$34="StraightLine",VLOOKUP($C$35,'Depreciation Tables'!$B$3:$AF$32,N8+1),VLOOKUP($C$35,'Depreciation Tables'!$B$43:$AF$44,N8+1)))</f>
        <v>0.0576</v>
      </c>
      <c r="O42" s="367">
        <f>IF($C$34="MACRS",VLOOKUP($C$35,'Depreciation Tables'!$B$35:$AF$40,O8+1),IF($C$34="StraightLine",VLOOKUP($C$35,'Depreciation Tables'!$B$3:$AF$32,O8+1),VLOOKUP($C$35,'Depreciation Tables'!$B$43:$AF$44,O8+1)))</f>
        <v>0</v>
      </c>
      <c r="P42" s="367">
        <f>IF($C$34="MACRS",VLOOKUP($C$35,'Depreciation Tables'!$B$35:$AF$40,P8+1),IF($C$34="StraightLine",VLOOKUP($C$35,'Depreciation Tables'!$B$3:$AF$32,P8+1),VLOOKUP($C$35,'Depreciation Tables'!$B$43:$AF$44,P8+1)))</f>
        <v>0</v>
      </c>
      <c r="Q42" s="367">
        <f>IF($C$34="MACRS",VLOOKUP($C$35,'Depreciation Tables'!$B$35:$AF$40,Q8+1),IF($C$34="StraightLine",VLOOKUP($C$35,'Depreciation Tables'!$B$3:$AF$32,Q8+1),VLOOKUP($C$35,'Depreciation Tables'!$B$43:$AF$44,Q8+1)))</f>
        <v>0</v>
      </c>
      <c r="R42" s="367">
        <f>IF($C$34="MACRS",VLOOKUP($C$35,'Depreciation Tables'!$B$35:$AF$40,R8+1),IF($C$34="StraightLine",VLOOKUP($C$35,'Depreciation Tables'!$B$3:$AF$32,R8+1),VLOOKUP($C$35,'Depreciation Tables'!$B$43:$AF$44,R8+1)))</f>
        <v>0</v>
      </c>
      <c r="S42" s="367">
        <f>IF($C$34="MACRS",VLOOKUP($C$35,'Depreciation Tables'!$B$35:$AF$40,S8+1),IF($C$34="StraightLine",VLOOKUP($C$35,'Depreciation Tables'!$B$3:$AF$32,S8+1),VLOOKUP($C$35,'Depreciation Tables'!$B$43:$AF$44,S8+1)))</f>
        <v>0</v>
      </c>
      <c r="T42" s="367">
        <f>IF($C$34="MACRS",VLOOKUP($C$35,'Depreciation Tables'!$B$35:$AF$40,T8+1),IF($C$34="StraightLine",VLOOKUP($C$35,'Depreciation Tables'!$B$3:$AF$32,T8+1),VLOOKUP($C$35,'Depreciation Tables'!$B$43:$AF$44,T8+1)))</f>
        <v>0</v>
      </c>
      <c r="U42" s="367">
        <f>IF($C$34="MACRS",VLOOKUP($C$35,'Depreciation Tables'!$B$35:$AF$40,U8+1),IF($C$34="StraightLine",VLOOKUP($C$35,'Depreciation Tables'!$B$3:$AF$32,U8+1),VLOOKUP($C$35,'Depreciation Tables'!$B$43:$AF$44,U8+1)))</f>
        <v>0</v>
      </c>
      <c r="V42" s="367">
        <f>IF($C$34="MACRS",VLOOKUP($C$35,'Depreciation Tables'!$B$35:$AF$40,V8+1),IF($C$34="StraightLine",VLOOKUP($C$35,'Depreciation Tables'!$B$3:$AF$32,V8+1),VLOOKUP($C$35,'Depreciation Tables'!$B$43:$AF$44,V8+1)))</f>
        <v>0</v>
      </c>
      <c r="W42" s="367">
        <f>IF($C$34="MACRS",VLOOKUP($C$35,'Depreciation Tables'!$B$35:$AF$40,W8+1),IF($C$34="StraightLine",VLOOKUP($C$35,'Depreciation Tables'!$B$3:$AF$32,W8+1),VLOOKUP($C$35,'Depreciation Tables'!$B$43:$AF$44,W8+1)))</f>
        <v>0</v>
      </c>
      <c r="X42" s="367">
        <f>IF($C$34="MACRS",VLOOKUP($C$35,'Depreciation Tables'!$B$35:$AF$40,X8+1),IF($C$34="StraightLine",VLOOKUP($C$35,'Depreciation Tables'!$B$3:$AF$32,X8+1),VLOOKUP($C$35,'Depreciation Tables'!$B$43:$AF$44,X8+1)))</f>
        <v>0</v>
      </c>
      <c r="Y42" s="367">
        <f>IF($C$34="MACRS",VLOOKUP($C$35,'Depreciation Tables'!$B$35:$AF$40,Y8+1),IF($C$34="StraightLine",VLOOKUP($C$35,'Depreciation Tables'!$B$3:$AF$32,Y8+1),VLOOKUP($C$35,'Depreciation Tables'!$B$43:$AF$44,Y8+1)))</f>
        <v>0</v>
      </c>
      <c r="Z42" s="367">
        <f>IF($C$34="MACRS",VLOOKUP($C$35,'Depreciation Tables'!$B$35:$AF$40,Z8+1),IF($C$34="StraightLine",VLOOKUP($C$35,'Depreciation Tables'!$B$3:$AF$32,Z8+1),VLOOKUP($C$35,'Depreciation Tables'!$B$43:$AF$44,Z8+1)))</f>
        <v>0</v>
      </c>
      <c r="AA42" s="367">
        <f>IF($C$34="MACRS",VLOOKUP($C$35,'Depreciation Tables'!$B$35:$AF$40,AA8+1),IF($C$34="StraightLine",VLOOKUP($C$35,'Depreciation Tables'!$B$3:$AF$32,AA8+1),VLOOKUP($C$35,'Depreciation Tables'!$B$43:$AF$44,AA8+1)))</f>
        <v>0</v>
      </c>
      <c r="AB42" s="367">
        <f>IF($C$34="MACRS",VLOOKUP($C$35,'Depreciation Tables'!$B$35:$AF$40,AB8+1),IF($C$34="StraightLine",VLOOKUP($C$35,'Depreciation Tables'!$B$3:$AF$32,AB8+1),VLOOKUP($C$35,'Depreciation Tables'!$B$43:$AF$44,AB8+1)))</f>
        <v>0</v>
      </c>
      <c r="AC42" s="367">
        <f>IF($C$34="MACRS",VLOOKUP($C$35,'Depreciation Tables'!$B$35:$AF$40,AC8+1),IF($C$34="StraightLine",VLOOKUP($C$35,'Depreciation Tables'!$B$3:$AF$32,AC8+1),VLOOKUP($C$35,'Depreciation Tables'!$B$43:$AF$44,AC8+1)))</f>
        <v>0</v>
      </c>
      <c r="AD42" s="367">
        <f>IF($C$34="MACRS",VLOOKUP($C$35,'Depreciation Tables'!$B$35:$AF$40,AD8+1),IF($C$34="StraightLine",VLOOKUP($C$35,'Depreciation Tables'!$B$3:$AF$32,AD8+1),VLOOKUP($C$35,'Depreciation Tables'!$B$43:$AF$44,AD8+1)))</f>
        <v>0</v>
      </c>
      <c r="AE42" s="367">
        <f>IF($C$34="MACRS",VLOOKUP($C$35,'Depreciation Tables'!$B$35:$AF$40,AE8+1),IF($C$34="StraightLine",VLOOKUP($C$35,'Depreciation Tables'!$B$3:$AF$32,AE8+1),VLOOKUP($C$35,'Depreciation Tables'!$B$43:$AF$44,AE8+1)))</f>
        <v>0</v>
      </c>
      <c r="AF42" s="367">
        <f>IF($C$34="MACRS",VLOOKUP($C$35,'Depreciation Tables'!$B$35:$AF$40,AF8+1),IF($C$34="StraightLine",VLOOKUP($C$35,'Depreciation Tables'!$B$3:$AF$32,AF8+1),VLOOKUP($C$35,'Depreciation Tables'!$B$43:$AF$44,AF8+1)))</f>
        <v>0</v>
      </c>
      <c r="AG42" s="367">
        <f>IF($C$34="MACRS",VLOOKUP($C$35,'Depreciation Tables'!$B$35:$AF$40,AG8+1),IF($C$34="StraightLine",VLOOKUP($C$35,'Depreciation Tables'!$B$3:$AF$32,AG8+1),VLOOKUP($C$35,'Depreciation Tables'!$B$43:$AF$44,AG8+1)))</f>
        <v>0</v>
      </c>
      <c r="AH42" s="367">
        <f>IF($C$34="MACRS",VLOOKUP($C$35,'Depreciation Tables'!$B$35:$AF$40,AH8+1),IF($C$34="StraightLine",VLOOKUP($C$35,'Depreciation Tables'!$B$3:$AF$32,AH8+1),VLOOKUP($C$35,'Depreciation Tables'!$B$43:$AF$44,AH8+1)))</f>
        <v>0</v>
      </c>
      <c r="AI42" s="367">
        <f>IF($C$34="MACRS",VLOOKUP($C$35,'Depreciation Tables'!$B$35:$AF$40,AI8+1),IF($C$34="StraightLine",VLOOKUP($C$35,'Depreciation Tables'!$B$3:$AF$32,AI8+1),VLOOKUP($C$35,'Depreciation Tables'!$B$43:$AF$44,AI8+1)))</f>
        <v>0</v>
      </c>
      <c r="AJ42" s="367">
        <f>IF($C$34="MACRS",VLOOKUP($C$35,'Depreciation Tables'!$B$35:$AF$40,AJ8+1),IF($C$34="StraightLine",VLOOKUP($C$35,'Depreciation Tables'!$B$3:$AF$32,AJ8+1),VLOOKUP($C$35,'Depreciation Tables'!$B$43:$AF$44,AJ8+1)))</f>
        <v>0</v>
      </c>
      <c r="AK42" s="367">
        <f>IF($C$34="MACRS",VLOOKUP($C$35,'Depreciation Tables'!$B$35:$AF$40,AK8+1),IF($C$34="StraightLine",VLOOKUP($C$35,'Depreciation Tables'!$B$3:$AF$32,AK8+1),VLOOKUP($C$35,'Depreciation Tables'!$B$43:$AF$44,AK8+1)))</f>
        <v>0</v>
      </c>
      <c r="AL42" s="368">
        <f>IF($C$34="MACRS",VLOOKUP($C$35,'Depreciation Tables'!$B$35:$AF$40,AL8+1),IF($C$34="StraightLine",VLOOKUP($C$35,'Depreciation Tables'!$B$3:$AF$32,AL8+1),VLOOKUP($C$35,'Depreciation Tables'!$B$43:$AF$44,AL8+1)))</f>
        <v>0</v>
      </c>
      <c r="AM42" s="319"/>
      <c r="AN42" s="318"/>
    </row>
    <row r="43" spans="1:40" ht="15">
      <c r="A43" s="325" t="s">
        <v>91</v>
      </c>
      <c r="B43" s="254"/>
      <c r="C43" s="305">
        <f>((1+C30)/(1+C$31))-1</f>
        <v>0.064809384164223</v>
      </c>
      <c r="D43" s="261"/>
      <c r="E43" s="318"/>
      <c r="F43" s="319"/>
      <c r="G43" s="392" t="s">
        <v>30</v>
      </c>
      <c r="H43" s="377"/>
      <c r="I43" s="386">
        <f>C8</f>
        <v>450000000</v>
      </c>
      <c r="J43" s="386">
        <f>I45</f>
        <v>360000000</v>
      </c>
      <c r="K43" s="386">
        <f aca="true" t="shared" si="24" ref="K43:R43">J45</f>
        <v>216000000</v>
      </c>
      <c r="L43" s="386">
        <f t="shared" si="24"/>
        <v>129600000</v>
      </c>
      <c r="M43" s="386">
        <f t="shared" si="24"/>
        <v>77760000</v>
      </c>
      <c r="N43" s="386">
        <f t="shared" si="24"/>
        <v>25920000</v>
      </c>
      <c r="O43" s="386">
        <f t="shared" si="24"/>
        <v>0</v>
      </c>
      <c r="P43" s="386">
        <f t="shared" si="24"/>
        <v>0</v>
      </c>
      <c r="Q43" s="386">
        <f t="shared" si="24"/>
        <v>0</v>
      </c>
      <c r="R43" s="386">
        <f t="shared" si="24"/>
        <v>0</v>
      </c>
      <c r="S43" s="386">
        <f>R45</f>
        <v>0</v>
      </c>
      <c r="T43" s="386">
        <f>S45</f>
        <v>0</v>
      </c>
      <c r="U43" s="386">
        <f>T45</f>
        <v>0</v>
      </c>
      <c r="V43" s="386">
        <f>U45</f>
        <v>0</v>
      </c>
      <c r="W43" s="386">
        <f>V45</f>
        <v>0</v>
      </c>
      <c r="X43" s="386">
        <f>W45</f>
        <v>0</v>
      </c>
      <c r="Y43" s="386">
        <f>X45</f>
        <v>0</v>
      </c>
      <c r="Z43" s="386">
        <f aca="true" t="shared" si="25" ref="Z43:AG43">Y45</f>
        <v>0</v>
      </c>
      <c r="AA43" s="386">
        <f t="shared" si="25"/>
        <v>0</v>
      </c>
      <c r="AB43" s="386">
        <f t="shared" si="25"/>
        <v>0</v>
      </c>
      <c r="AC43" s="386">
        <f t="shared" si="25"/>
        <v>0</v>
      </c>
      <c r="AD43" s="386">
        <f t="shared" si="25"/>
        <v>0</v>
      </c>
      <c r="AE43" s="386">
        <f t="shared" si="25"/>
        <v>0</v>
      </c>
      <c r="AF43" s="386">
        <f t="shared" si="25"/>
        <v>0</v>
      </c>
      <c r="AG43" s="386">
        <f t="shared" si="25"/>
        <v>0</v>
      </c>
      <c r="AH43" s="386">
        <f>AG45</f>
        <v>0</v>
      </c>
      <c r="AI43" s="386">
        <f>AH45</f>
        <v>0</v>
      </c>
      <c r="AJ43" s="386">
        <f>AI45</f>
        <v>0</v>
      </c>
      <c r="AK43" s="386">
        <f>AJ45</f>
        <v>0</v>
      </c>
      <c r="AL43" s="398">
        <f>AK45</f>
        <v>0</v>
      </c>
      <c r="AM43" s="319"/>
      <c r="AN43" s="318"/>
    </row>
    <row r="44" spans="1:40" ht="15">
      <c r="A44" s="325" t="s">
        <v>92</v>
      </c>
      <c r="B44" s="254"/>
      <c r="C44" s="305">
        <f>C27*C42+C28*C43</f>
        <v>0.047409579667644364</v>
      </c>
      <c r="E44" s="318"/>
      <c r="F44" s="319"/>
      <c r="G44" s="392" t="s">
        <v>29</v>
      </c>
      <c r="H44" s="377"/>
      <c r="I44" s="381">
        <f>-MIN($I$43*I42,I43)</f>
        <v>-90000000</v>
      </c>
      <c r="J44" s="381">
        <f aca="true" t="shared" si="26" ref="J44:AL44">-MIN($I$43*J42,J43)</f>
        <v>-144000000</v>
      </c>
      <c r="K44" s="381">
        <f t="shared" si="26"/>
        <v>-86400000</v>
      </c>
      <c r="L44" s="381">
        <f t="shared" si="26"/>
        <v>-51840000</v>
      </c>
      <c r="M44" s="381">
        <f t="shared" si="26"/>
        <v>-51840000</v>
      </c>
      <c r="N44" s="381">
        <f t="shared" si="26"/>
        <v>-25920000</v>
      </c>
      <c r="O44" s="381">
        <f t="shared" si="26"/>
        <v>0</v>
      </c>
      <c r="P44" s="381">
        <f t="shared" si="26"/>
        <v>0</v>
      </c>
      <c r="Q44" s="381">
        <f t="shared" si="26"/>
        <v>0</v>
      </c>
      <c r="R44" s="283">
        <f t="shared" si="26"/>
        <v>0</v>
      </c>
      <c r="S44" s="283">
        <f t="shared" si="26"/>
        <v>0</v>
      </c>
      <c r="T44" s="283">
        <f t="shared" si="26"/>
        <v>0</v>
      </c>
      <c r="U44" s="283">
        <f t="shared" si="26"/>
        <v>0</v>
      </c>
      <c r="V44" s="283">
        <f t="shared" si="26"/>
        <v>0</v>
      </c>
      <c r="W44" s="283">
        <f t="shared" si="26"/>
        <v>0</v>
      </c>
      <c r="X44" s="283">
        <f t="shared" si="26"/>
        <v>0</v>
      </c>
      <c r="Y44" s="283">
        <f t="shared" si="26"/>
        <v>0</v>
      </c>
      <c r="Z44" s="381">
        <f t="shared" si="26"/>
        <v>0</v>
      </c>
      <c r="AA44" s="381">
        <f t="shared" si="26"/>
        <v>0</v>
      </c>
      <c r="AB44" s="381">
        <f t="shared" si="26"/>
        <v>0</v>
      </c>
      <c r="AC44" s="381">
        <f t="shared" si="26"/>
        <v>0</v>
      </c>
      <c r="AD44" s="381">
        <f t="shared" si="26"/>
        <v>0</v>
      </c>
      <c r="AE44" s="381">
        <f t="shared" si="26"/>
        <v>0</v>
      </c>
      <c r="AF44" s="381">
        <f t="shared" si="26"/>
        <v>0</v>
      </c>
      <c r="AG44" s="283">
        <f t="shared" si="26"/>
        <v>0</v>
      </c>
      <c r="AH44" s="283">
        <f t="shared" si="26"/>
        <v>0</v>
      </c>
      <c r="AI44" s="283">
        <f t="shared" si="26"/>
        <v>0</v>
      </c>
      <c r="AJ44" s="283">
        <f t="shared" si="26"/>
        <v>0</v>
      </c>
      <c r="AK44" s="283">
        <f t="shared" si="26"/>
        <v>0</v>
      </c>
      <c r="AL44" s="365">
        <f t="shared" si="26"/>
        <v>0</v>
      </c>
      <c r="AM44" s="319"/>
      <c r="AN44" s="318"/>
    </row>
    <row r="45" spans="1:40" ht="15.75" thickBot="1">
      <c r="A45" s="325" t="s">
        <v>36</v>
      </c>
      <c r="B45" s="258"/>
      <c r="C45" s="371">
        <f>PMT(C29,C33,(C27*C8))</f>
        <v>-18625300.71255457</v>
      </c>
      <c r="D45" s="261"/>
      <c r="E45" s="318"/>
      <c r="F45" s="319"/>
      <c r="G45" s="399" t="s">
        <v>34</v>
      </c>
      <c r="H45" s="257"/>
      <c r="I45" s="280">
        <f>SUM(I43:I44)</f>
        <v>360000000</v>
      </c>
      <c r="J45" s="280">
        <f aca="true" t="shared" si="27" ref="J45:R45">SUM(J43:J44)</f>
        <v>216000000</v>
      </c>
      <c r="K45" s="280">
        <f t="shared" si="27"/>
        <v>129600000</v>
      </c>
      <c r="L45" s="280">
        <f t="shared" si="27"/>
        <v>77760000</v>
      </c>
      <c r="M45" s="280">
        <f t="shared" si="27"/>
        <v>25920000</v>
      </c>
      <c r="N45" s="280">
        <f>SUM(N43:N44)</f>
        <v>0</v>
      </c>
      <c r="O45" s="280">
        <f t="shared" si="27"/>
        <v>0</v>
      </c>
      <c r="P45" s="280">
        <f t="shared" si="27"/>
        <v>0</v>
      </c>
      <c r="Q45" s="280">
        <f t="shared" si="27"/>
        <v>0</v>
      </c>
      <c r="R45" s="282">
        <f t="shared" si="27"/>
        <v>0</v>
      </c>
      <c r="S45" s="282">
        <f>SUM(S43:S44)</f>
        <v>0</v>
      </c>
      <c r="T45" s="282">
        <f aca="true" t="shared" si="28" ref="T45:AB45">SUM(T43:T44)</f>
        <v>0</v>
      </c>
      <c r="U45" s="282">
        <f t="shared" si="28"/>
        <v>0</v>
      </c>
      <c r="V45" s="282">
        <f t="shared" si="28"/>
        <v>0</v>
      </c>
      <c r="W45" s="282">
        <f t="shared" si="28"/>
        <v>0</v>
      </c>
      <c r="X45" s="282">
        <f t="shared" si="28"/>
        <v>0</v>
      </c>
      <c r="Y45" s="282">
        <f t="shared" si="28"/>
        <v>0</v>
      </c>
      <c r="Z45" s="280">
        <f t="shared" si="28"/>
        <v>0</v>
      </c>
      <c r="AA45" s="280">
        <f t="shared" si="28"/>
        <v>0</v>
      </c>
      <c r="AB45" s="280">
        <f t="shared" si="28"/>
        <v>0</v>
      </c>
      <c r="AC45" s="280">
        <f>SUM(AC43:AC44)</f>
        <v>0</v>
      </c>
      <c r="AD45" s="280">
        <f>SUM(AD43:AD44)</f>
        <v>0</v>
      </c>
      <c r="AE45" s="280">
        <f>SUM(AE43:AE44)</f>
        <v>0</v>
      </c>
      <c r="AF45" s="280">
        <f>SUM(AF43:AF44)</f>
        <v>0</v>
      </c>
      <c r="AG45" s="282">
        <f>SUM(AG43:AG44)</f>
        <v>0</v>
      </c>
      <c r="AH45" s="282">
        <f>SUM(AH43:AH44)</f>
        <v>0</v>
      </c>
      <c r="AI45" s="282">
        <f>SUM(AI43:AI44)</f>
        <v>0</v>
      </c>
      <c r="AJ45" s="282">
        <f>SUM(AJ43:AJ44)</f>
        <v>0</v>
      </c>
      <c r="AK45" s="282">
        <f>SUM(AK43:AK44)</f>
        <v>0</v>
      </c>
      <c r="AL45" s="364">
        <f>SUM(AL43:AL44)</f>
        <v>0</v>
      </c>
      <c r="AM45" s="319"/>
      <c r="AN45" s="318"/>
    </row>
    <row r="46" spans="1:45" ht="16.5" thickBot="1" thickTop="1">
      <c r="A46" s="258"/>
      <c r="B46" s="258"/>
      <c r="C46" s="146"/>
      <c r="E46" s="318"/>
      <c r="F46" s="319"/>
      <c r="G46" s="293"/>
      <c r="H46" s="294"/>
      <c r="I46" s="387"/>
      <c r="J46" s="294"/>
      <c r="K46" s="294"/>
      <c r="L46" s="294"/>
      <c r="M46" s="294"/>
      <c r="N46" s="294"/>
      <c r="O46" s="294"/>
      <c r="P46" s="294"/>
      <c r="Q46" s="294"/>
      <c r="R46" s="294"/>
      <c r="S46" s="330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09"/>
      <c r="AM46" s="319"/>
      <c r="AN46" s="318"/>
      <c r="AQ46" s="607" t="s">
        <v>153</v>
      </c>
      <c r="AR46" s="606"/>
      <c r="AS46" s="608">
        <v>0.35</v>
      </c>
    </row>
    <row r="47" spans="1:45" ht="15.75" thickBot="1">
      <c r="A47" s="370"/>
      <c r="B47" s="370"/>
      <c r="C47" s="370"/>
      <c r="E47" s="318"/>
      <c r="F47" s="319"/>
      <c r="G47" s="338" t="s">
        <v>31</v>
      </c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4"/>
      <c r="AM47" s="319"/>
      <c r="AN47" s="318"/>
      <c r="AQ47" s="607" t="s">
        <v>154</v>
      </c>
      <c r="AR47" s="606"/>
      <c r="AS47" s="608">
        <v>0.071</v>
      </c>
    </row>
    <row r="48" spans="1:45" ht="18" thickBot="1">
      <c r="A48" s="414" t="s">
        <v>42</v>
      </c>
      <c r="B48" s="415"/>
      <c r="C48" s="416"/>
      <c r="E48" s="318"/>
      <c r="F48" s="319"/>
      <c r="G48" s="395" t="s">
        <v>30</v>
      </c>
      <c r="H48" s="396"/>
      <c r="I48" s="296">
        <f>IF(I8&gt;C33,0,C27*C8)</f>
        <v>225000000</v>
      </c>
      <c r="J48" s="297">
        <f aca="true" t="shared" si="29" ref="J48:AL48">IF(J8&gt;$C$33,0,I51)</f>
        <v>218457199.28744543</v>
      </c>
      <c r="K48" s="297">
        <f t="shared" si="29"/>
        <v>211563050.17662668</v>
      </c>
      <c r="L48" s="297">
        <f t="shared" si="29"/>
        <v>204298685.25855696</v>
      </c>
      <c r="M48" s="297">
        <f t="shared" si="29"/>
        <v>196644223.9443869</v>
      </c>
      <c r="N48" s="297">
        <f t="shared" si="29"/>
        <v>188578718.05764592</v>
      </c>
      <c r="O48" s="297">
        <f t="shared" si="29"/>
        <v>180080094.50478694</v>
      </c>
      <c r="P48" s="297">
        <f t="shared" si="29"/>
        <v>171125094.86713943</v>
      </c>
      <c r="Q48" s="297">
        <f t="shared" si="29"/>
        <v>161689211.74895024</v>
      </c>
      <c r="R48" s="297">
        <f t="shared" si="29"/>
        <v>151746621.7073143</v>
      </c>
      <c r="S48" s="297">
        <f t="shared" si="29"/>
        <v>141270114.58044252</v>
      </c>
      <c r="T48" s="297">
        <f t="shared" si="29"/>
        <v>130231019.0208577</v>
      </c>
      <c r="U48" s="297">
        <f t="shared" si="29"/>
        <v>118599124.0297232</v>
      </c>
      <c r="V48" s="297">
        <f t="shared" si="29"/>
        <v>106342596.27756476</v>
      </c>
      <c r="W48" s="297">
        <f t="shared" si="29"/>
        <v>93427892.98511542</v>
      </c>
      <c r="X48" s="297">
        <f t="shared" si="29"/>
        <v>79819670.12586156</v>
      </c>
      <c r="Y48" s="297">
        <f t="shared" si="29"/>
        <v>65480685.69906575</v>
      </c>
      <c r="Z48" s="297">
        <f t="shared" si="29"/>
        <v>50371697.80855101</v>
      </c>
      <c r="AA48" s="297">
        <f t="shared" si="29"/>
        <v>34451357.26831563</v>
      </c>
      <c r="AB48" s="297">
        <f t="shared" si="29"/>
        <v>17676094.441069607</v>
      </c>
      <c r="AC48" s="297">
        <f t="shared" si="29"/>
        <v>0</v>
      </c>
      <c r="AD48" s="297">
        <f t="shared" si="29"/>
        <v>0</v>
      </c>
      <c r="AE48" s="297">
        <f t="shared" si="29"/>
        <v>0</v>
      </c>
      <c r="AF48" s="297">
        <f t="shared" si="29"/>
        <v>0</v>
      </c>
      <c r="AG48" s="297">
        <f t="shared" si="29"/>
        <v>0</v>
      </c>
      <c r="AH48" s="297">
        <f t="shared" si="29"/>
        <v>0</v>
      </c>
      <c r="AI48" s="297">
        <f t="shared" si="29"/>
        <v>0</v>
      </c>
      <c r="AJ48" s="297">
        <f t="shared" si="29"/>
        <v>0</v>
      </c>
      <c r="AK48" s="297">
        <f t="shared" si="29"/>
        <v>0</v>
      </c>
      <c r="AL48" s="363">
        <f t="shared" si="29"/>
        <v>0</v>
      </c>
      <c r="AM48" s="319"/>
      <c r="AN48" s="318"/>
      <c r="AQ48" s="607" t="s">
        <v>155</v>
      </c>
      <c r="AR48" s="606"/>
      <c r="AS48" s="609">
        <v>0.0885</v>
      </c>
    </row>
    <row r="49" spans="1:45" ht="18">
      <c r="A49" s="417" t="s">
        <v>37</v>
      </c>
      <c r="B49" s="418"/>
      <c r="C49" s="423">
        <f ca="1">SUM(I38:OFFSET($H$38,0,$C$33))-($C$8*C28)</f>
        <v>-130074918.85013911</v>
      </c>
      <c r="E49" s="318"/>
      <c r="F49" s="319"/>
      <c r="G49" s="391" t="s">
        <v>32</v>
      </c>
      <c r="H49" s="378"/>
      <c r="I49" s="261">
        <f aca="true" t="shared" si="30" ref="I49:AL49">IF(I8&gt;$C$33,0,-I48*$C$29)</f>
        <v>-12082500</v>
      </c>
      <c r="J49" s="261">
        <f t="shared" si="30"/>
        <v>-11731151.60173582</v>
      </c>
      <c r="K49" s="261">
        <f t="shared" si="30"/>
        <v>-11360935.794484852</v>
      </c>
      <c r="L49" s="261">
        <f t="shared" si="30"/>
        <v>-10970839.398384508</v>
      </c>
      <c r="M49" s="261">
        <f t="shared" si="30"/>
        <v>-10559794.825813577</v>
      </c>
      <c r="N49" s="261">
        <f t="shared" si="30"/>
        <v>-10126677.159695586</v>
      </c>
      <c r="O49" s="261">
        <f t="shared" si="30"/>
        <v>-9670301.074907059</v>
      </c>
      <c r="P49" s="261">
        <f t="shared" si="30"/>
        <v>-9189417.594365386</v>
      </c>
      <c r="Q49" s="261">
        <f t="shared" si="30"/>
        <v>-8682710.670918629</v>
      </c>
      <c r="R49" s="261">
        <f t="shared" si="30"/>
        <v>-8148793.585682779</v>
      </c>
      <c r="S49" s="261">
        <f t="shared" si="30"/>
        <v>-7586205.152969763</v>
      </c>
      <c r="T49" s="261">
        <f t="shared" si="30"/>
        <v>-6993405.721420059</v>
      </c>
      <c r="U49" s="261">
        <f t="shared" si="30"/>
        <v>-6368772.960396135</v>
      </c>
      <c r="V49" s="261">
        <f t="shared" si="30"/>
        <v>-5710597.420105227</v>
      </c>
      <c r="W49" s="261">
        <f t="shared" si="30"/>
        <v>-5017077.853300698</v>
      </c>
      <c r="X49" s="261">
        <f t="shared" si="30"/>
        <v>-4286316.285758765</v>
      </c>
      <c r="Y49" s="261">
        <f t="shared" si="30"/>
        <v>-3516312.822039831</v>
      </c>
      <c r="Z49" s="261">
        <f t="shared" si="30"/>
        <v>-2704960.172319189</v>
      </c>
      <c r="AA49" s="261">
        <f t="shared" si="30"/>
        <v>-1850037.885308549</v>
      </c>
      <c r="AB49" s="261">
        <f t="shared" si="30"/>
        <v>-949206.2714854379</v>
      </c>
      <c r="AC49" s="261">
        <f t="shared" si="30"/>
        <v>0</v>
      </c>
      <c r="AD49" s="261">
        <f t="shared" si="30"/>
        <v>0</v>
      </c>
      <c r="AE49" s="261">
        <f t="shared" si="30"/>
        <v>0</v>
      </c>
      <c r="AF49" s="261">
        <f t="shared" si="30"/>
        <v>0</v>
      </c>
      <c r="AG49" s="261">
        <f t="shared" si="30"/>
        <v>0</v>
      </c>
      <c r="AH49" s="261">
        <f t="shared" si="30"/>
        <v>0</v>
      </c>
      <c r="AI49" s="261">
        <f t="shared" si="30"/>
        <v>0</v>
      </c>
      <c r="AJ49" s="261">
        <f t="shared" si="30"/>
        <v>0</v>
      </c>
      <c r="AK49" s="261">
        <f t="shared" si="30"/>
        <v>0</v>
      </c>
      <c r="AL49" s="316">
        <f t="shared" si="30"/>
        <v>0</v>
      </c>
      <c r="AM49" s="319"/>
      <c r="AN49" s="318"/>
      <c r="AQ49" s="607" t="s">
        <v>14</v>
      </c>
      <c r="AR49" s="606"/>
      <c r="AS49" s="608">
        <f>AS46+(1-AS46)*(AS47+AS48)</f>
        <v>0.45367499999999994</v>
      </c>
    </row>
    <row r="50" spans="1:45" ht="18" thickBot="1">
      <c r="A50" s="419" t="s">
        <v>105</v>
      </c>
      <c r="B50" s="412"/>
      <c r="C50" s="420"/>
      <c r="E50" s="318"/>
      <c r="F50" s="319"/>
      <c r="G50" s="391" t="s">
        <v>33</v>
      </c>
      <c r="H50" s="378"/>
      <c r="I50" s="261">
        <f aca="true" t="shared" si="31" ref="I50:AL50">IF(I8&gt;$C$33,0,$C$45-I49)</f>
        <v>-6542800.71255457</v>
      </c>
      <c r="J50" s="261">
        <f t="shared" si="31"/>
        <v>-6894149.110818751</v>
      </c>
      <c r="K50" s="261">
        <f t="shared" si="31"/>
        <v>-7264364.918069718</v>
      </c>
      <c r="L50" s="261">
        <f t="shared" si="31"/>
        <v>-7654461.314170063</v>
      </c>
      <c r="M50" s="261">
        <f t="shared" si="31"/>
        <v>-8065505.886740994</v>
      </c>
      <c r="N50" s="261">
        <f t="shared" si="31"/>
        <v>-8498623.552858984</v>
      </c>
      <c r="O50" s="261">
        <f t="shared" si="31"/>
        <v>-8954999.637647511</v>
      </c>
      <c r="P50" s="261">
        <f t="shared" si="31"/>
        <v>-9435883.118189184</v>
      </c>
      <c r="Q50" s="261">
        <f t="shared" si="31"/>
        <v>-9942590.041635942</v>
      </c>
      <c r="R50" s="261">
        <f t="shared" si="31"/>
        <v>-10476507.12687179</v>
      </c>
      <c r="S50" s="261">
        <f t="shared" si="31"/>
        <v>-11039095.559584808</v>
      </c>
      <c r="T50" s="261">
        <f t="shared" si="31"/>
        <v>-11631894.991134511</v>
      </c>
      <c r="U50" s="261">
        <f t="shared" si="31"/>
        <v>-12256527.752158435</v>
      </c>
      <c r="V50" s="261">
        <f t="shared" si="31"/>
        <v>-12914703.292449344</v>
      </c>
      <c r="W50" s="261">
        <f t="shared" si="31"/>
        <v>-13608222.859253872</v>
      </c>
      <c r="X50" s="261">
        <f t="shared" si="31"/>
        <v>-14338984.426795805</v>
      </c>
      <c r="Y50" s="261">
        <f t="shared" si="31"/>
        <v>-15108987.890514739</v>
      </c>
      <c r="Z50" s="261">
        <f t="shared" si="31"/>
        <v>-15920340.540235382</v>
      </c>
      <c r="AA50" s="261">
        <f t="shared" si="31"/>
        <v>-16775262.827246021</v>
      </c>
      <c r="AB50" s="261">
        <f t="shared" si="31"/>
        <v>-17676094.441069134</v>
      </c>
      <c r="AC50" s="261">
        <f t="shared" si="31"/>
        <v>0</v>
      </c>
      <c r="AD50" s="261">
        <f t="shared" si="31"/>
        <v>0</v>
      </c>
      <c r="AE50" s="261">
        <f t="shared" si="31"/>
        <v>0</v>
      </c>
      <c r="AF50" s="261">
        <f t="shared" si="31"/>
        <v>0</v>
      </c>
      <c r="AG50" s="261">
        <f t="shared" si="31"/>
        <v>0</v>
      </c>
      <c r="AH50" s="261">
        <f t="shared" si="31"/>
        <v>0</v>
      </c>
      <c r="AI50" s="261">
        <f t="shared" si="31"/>
        <v>0</v>
      </c>
      <c r="AJ50" s="261">
        <f t="shared" si="31"/>
        <v>0</v>
      </c>
      <c r="AK50" s="261">
        <f t="shared" si="31"/>
        <v>0</v>
      </c>
      <c r="AL50" s="316">
        <f t="shared" si="31"/>
        <v>0</v>
      </c>
      <c r="AM50" s="319"/>
      <c r="AN50" s="318"/>
      <c r="AQ50" s="602"/>
      <c r="AR50" s="602"/>
      <c r="AS50" s="608">
        <f>(1-AS46)*(AS47+AS48)</f>
        <v>0.10367499999999999</v>
      </c>
    </row>
    <row r="51" spans="1:40" ht="18" thickBot="1">
      <c r="A51" s="421" t="s">
        <v>104</v>
      </c>
      <c r="B51" s="422"/>
      <c r="C51" s="424">
        <f ca="1">SUM(I39:OFFSET($H$39,0,$C$33))-($C$8*C28)</f>
        <v>-50227964.07700512</v>
      </c>
      <c r="E51" s="318"/>
      <c r="F51" s="319"/>
      <c r="G51" s="397" t="s">
        <v>34</v>
      </c>
      <c r="H51" s="373"/>
      <c r="I51" s="280">
        <f>I48+I50</f>
        <v>218457199.28744543</v>
      </c>
      <c r="J51" s="281">
        <f>J48+J50</f>
        <v>211563050.17662668</v>
      </c>
      <c r="K51" s="281">
        <f aca="true" t="shared" si="32" ref="K51:R51">K48+K50</f>
        <v>204298685.25855696</v>
      </c>
      <c r="L51" s="281">
        <f t="shared" si="32"/>
        <v>196644223.9443869</v>
      </c>
      <c r="M51" s="281">
        <f t="shared" si="32"/>
        <v>188578718.05764592</v>
      </c>
      <c r="N51" s="281">
        <f t="shared" si="32"/>
        <v>180080094.50478694</v>
      </c>
      <c r="O51" s="281">
        <f t="shared" si="32"/>
        <v>171125094.86713943</v>
      </c>
      <c r="P51" s="281">
        <f t="shared" si="32"/>
        <v>161689211.74895024</v>
      </c>
      <c r="Q51" s="281">
        <f t="shared" si="32"/>
        <v>151746621.7073143</v>
      </c>
      <c r="R51" s="281">
        <f t="shared" si="32"/>
        <v>141270114.58044252</v>
      </c>
      <c r="S51" s="281">
        <f>S48+S50</f>
        <v>130231019.0208577</v>
      </c>
      <c r="T51" s="281">
        <f>T48+T50</f>
        <v>118599124.0297232</v>
      </c>
      <c r="U51" s="281">
        <f>U48+U50</f>
        <v>106342596.27756476</v>
      </c>
      <c r="V51" s="281">
        <f>V48+V50</f>
        <v>93427892.98511542</v>
      </c>
      <c r="W51" s="281">
        <f>W48+W50</f>
        <v>79819670.12586156</v>
      </c>
      <c r="X51" s="281">
        <f>X48+X50</f>
        <v>65480685.69906575</v>
      </c>
      <c r="Y51" s="281">
        <f>Y48+Y50</f>
        <v>50371697.80855101</v>
      </c>
      <c r="Z51" s="281">
        <f aca="true" t="shared" si="33" ref="Z51:AG51">Z48+Z50</f>
        <v>34451357.26831563</v>
      </c>
      <c r="AA51" s="281">
        <f t="shared" si="33"/>
        <v>17676094.441069607</v>
      </c>
      <c r="AB51" s="281">
        <f t="shared" si="33"/>
        <v>4.731118679046631E-07</v>
      </c>
      <c r="AC51" s="281">
        <f t="shared" si="33"/>
        <v>0</v>
      </c>
      <c r="AD51" s="281">
        <f t="shared" si="33"/>
        <v>0</v>
      </c>
      <c r="AE51" s="281">
        <f t="shared" si="33"/>
        <v>0</v>
      </c>
      <c r="AF51" s="281">
        <f t="shared" si="33"/>
        <v>0</v>
      </c>
      <c r="AG51" s="281">
        <f t="shared" si="33"/>
        <v>0</v>
      </c>
      <c r="AH51" s="281">
        <f>AH48+AH50</f>
        <v>0</v>
      </c>
      <c r="AI51" s="281">
        <f>AI48+AI50</f>
        <v>0</v>
      </c>
      <c r="AJ51" s="281">
        <f>AJ48+AJ50</f>
        <v>0</v>
      </c>
      <c r="AK51" s="281">
        <f>AK48+AK50</f>
        <v>0</v>
      </c>
      <c r="AL51" s="362">
        <f>AL48+AL50</f>
        <v>0</v>
      </c>
      <c r="AM51" s="319"/>
      <c r="AN51" s="318"/>
    </row>
    <row r="52" spans="5:40" ht="15.75" thickBot="1">
      <c r="E52" s="318"/>
      <c r="F52" s="319"/>
      <c r="G52" s="293"/>
      <c r="H52" s="294"/>
      <c r="I52" s="387"/>
      <c r="J52" s="294"/>
      <c r="K52" s="294"/>
      <c r="L52" s="294"/>
      <c r="M52" s="294"/>
      <c r="N52" s="294"/>
      <c r="O52" s="294"/>
      <c r="P52" s="294"/>
      <c r="Q52" s="294"/>
      <c r="R52" s="294"/>
      <c r="S52" s="342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5"/>
      <c r="AM52" s="319"/>
      <c r="AN52" s="318"/>
    </row>
    <row r="53" spans="5:40" ht="5.25" customHeight="1">
      <c r="E53" s="318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8"/>
    </row>
    <row r="54" spans="5:40" ht="15"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</row>
    <row r="55" ht="14.25">
      <c r="B55" s="337" t="s">
        <v>77</v>
      </c>
    </row>
    <row r="57" spans="1:3" ht="14.25">
      <c r="A57" s="611" t="s">
        <v>156</v>
      </c>
      <c r="B57" s="610"/>
      <c r="C57" s="612">
        <f>C51/C9/1000</f>
        <v>-502.2796407700512</v>
      </c>
    </row>
    <row r="58" spans="7:19" ht="14.25">
      <c r="G58" s="369"/>
      <c r="H58" s="333"/>
      <c r="I58" s="328"/>
      <c r="S58" s="404"/>
    </row>
    <row r="60" spans="35:38" ht="14.25">
      <c r="AI60" s="369"/>
      <c r="AJ60" s="369"/>
      <c r="AK60" s="369"/>
      <c r="AL60" s="369"/>
    </row>
    <row r="61" spans="9:10" ht="14.25">
      <c r="I61" s="425"/>
      <c r="J61" s="404"/>
    </row>
    <row r="62" ht="14.25">
      <c r="I62" s="425"/>
    </row>
    <row r="63" spans="1:18" ht="18">
      <c r="A63" s="361"/>
      <c r="I63" s="406"/>
      <c r="J63" s="406"/>
      <c r="K63" s="406"/>
      <c r="L63" s="406"/>
      <c r="M63" s="406"/>
      <c r="N63" s="407"/>
      <c r="O63" s="407"/>
      <c r="P63" s="407"/>
      <c r="Q63" s="407"/>
      <c r="R63" s="407"/>
    </row>
    <row r="64" spans="1:18" ht="18">
      <c r="A64" s="361"/>
      <c r="O64" s="380"/>
      <c r="P64" s="380"/>
      <c r="Q64" s="380"/>
      <c r="R64" s="380"/>
    </row>
    <row r="65" spans="9:13" ht="14.25">
      <c r="I65" s="409"/>
      <c r="J65" s="409"/>
      <c r="K65" s="409"/>
      <c r="L65" s="409"/>
      <c r="M65" s="409"/>
    </row>
  </sheetData>
  <sheetProtection/>
  <mergeCells count="1">
    <mergeCell ref="A4:C4"/>
  </mergeCells>
  <conditionalFormatting sqref="A65:A65530 A56:A62 A48:A54 A47:C47 B48:C65530 A46 C22 C18:C20 B17:B22 B23:C46 G42:AL46 G48:AL52 G55:AL65527 AM55:AM65526 F56:F65526 D7:D65523 AN55:AN65525 A4:A5 D4:D5 B5:C5 G8:AL10 AO1:IV65536 E56:E65525 G12:AL40 E55:F55 B7:C16">
    <cfRule type="cellIs" priority="7" dxfId="28" operator="lessThan">
      <formula>0</formula>
    </cfRule>
  </conditionalFormatting>
  <conditionalFormatting sqref="C29:C30">
    <cfRule type="cellIs" priority="6" dxfId="28" operator="lessThan">
      <formula>0</formula>
    </cfRule>
  </conditionalFormatting>
  <conditionalFormatting sqref="G21">
    <cfRule type="cellIs" priority="5" dxfId="28" operator="lessThan">
      <formula>0</formula>
    </cfRule>
  </conditionalFormatting>
  <conditionalFormatting sqref="AQ46:AQ49">
    <cfRule type="cellIs" priority="4" dxfId="28" operator="lessThan">
      <formula>0</formula>
    </cfRule>
  </conditionalFormatting>
  <conditionalFormatting sqref="AQ46:AS50">
    <cfRule type="cellIs" priority="3" dxfId="28" operator="lessThan">
      <formula>0</formula>
    </cfRule>
  </conditionalFormatting>
  <conditionalFormatting sqref="A57:C57">
    <cfRule type="cellIs" priority="2" dxfId="28" operator="lessThan">
      <formula>0</formula>
    </cfRule>
  </conditionalFormatting>
  <conditionalFormatting sqref="A57:C57">
    <cfRule type="cellIs" priority="1" dxfId="28" operator="lessThan">
      <formula>0</formula>
    </cfRule>
  </conditionalFormatting>
  <dataValidations count="8">
    <dataValidation type="list" allowBlank="1" showInputMessage="1" showErrorMessage="1" sqref="C33">
      <formula1>"1, 2, 3, 4, 5, 6, 7, 8, 9, 10, 11, 12, 13, 14, 15,16,17,18,19,20,21,22,23,24,25,26,27,28,29,30"</formula1>
    </dataValidation>
    <dataValidation type="list" allowBlank="1" showInputMessage="1" showErrorMessage="1" sqref="C34">
      <formula1>$AP$7:$AR$7</formula1>
    </dataValidation>
    <dataValidation type="list" allowBlank="1" showInputMessage="1" showErrorMessage="1" sqref="C35">
      <formula1>INDIRECT($C$34)</formula1>
    </dataValidation>
    <dataValidation type="list" allowBlank="1" showInputMessage="1" showErrorMessage="1" sqref="C46 C24:C25">
      <formula1>"YES, NO"</formula1>
    </dataValidation>
    <dataValidation type="list" allowBlank="1" showInputMessage="1" showErrorMessage="1" sqref="C23">
      <formula1>"-10, -9, -8, -7, -6, -5, -4, -3, -2, -1, 0, 1, 2, 3, 4, 5, 6, 7, 8, 9, 10"</formula1>
    </dataValidation>
    <dataValidation type="list" allowBlank="1" showInputMessage="1" showErrorMessage="1" sqref="C14">
      <formula1>"0,15,25"</formula1>
    </dataValidation>
    <dataValidation type="list" allowBlank="1" showInputMessage="1" showErrorMessage="1" sqref="M61">
      <formula1>$O$61:$O$63</formula1>
    </dataValidation>
    <dataValidation type="list" allowBlank="1" showInputMessage="1" showErrorMessage="1" sqref="D26">
      <formula1>"1, 2, 3, 4, 5"</formula1>
    </dataValidation>
  </dataValidations>
  <printOptions/>
  <pageMargins left="0.7" right="0.7" top="0.75" bottom="0.75" header="0.3" footer="0.3"/>
  <pageSetup horizontalDpi="600" verticalDpi="600" orientation="portrait" r:id="rId1"/>
  <headerFooter>
    <oddFooter>&amp;RPrepared by Julia Popova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65"/>
  <sheetViews>
    <sheetView zoomScale="70" zoomScaleNormal="70" zoomScalePageLayoutView="0" workbookViewId="0" topLeftCell="A1">
      <pane xSplit="7" ySplit="7" topLeftCell="H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59" sqref="G59"/>
    </sheetView>
  </sheetViews>
  <sheetFormatPr defaultColWidth="9.140625" defaultRowHeight="15"/>
  <cols>
    <col min="1" max="1" width="38.421875" style="426" customWidth="1"/>
    <col min="2" max="2" width="12.421875" style="426" bestFit="1" customWidth="1"/>
    <col min="3" max="3" width="20.00390625" style="426" bestFit="1" customWidth="1"/>
    <col min="4" max="4" width="2.7109375" style="545" customWidth="1"/>
    <col min="5" max="5" width="3.00390625" style="426" customWidth="1"/>
    <col min="6" max="6" width="1.57421875" style="426" customWidth="1"/>
    <col min="7" max="7" width="51.00390625" style="426" bestFit="1" customWidth="1"/>
    <col min="8" max="8" width="11.140625" style="426" bestFit="1" customWidth="1"/>
    <col min="9" max="9" width="19.140625" style="426" bestFit="1" customWidth="1"/>
    <col min="10" max="11" width="16.7109375" style="426" bestFit="1" customWidth="1"/>
    <col min="12" max="13" width="16.00390625" style="426" bestFit="1" customWidth="1"/>
    <col min="14" max="14" width="15.7109375" style="426" bestFit="1" customWidth="1"/>
    <col min="15" max="17" width="17.421875" style="426" bestFit="1" customWidth="1"/>
    <col min="18" max="18" width="17.140625" style="426" bestFit="1" customWidth="1"/>
    <col min="19" max="19" width="17.421875" style="426" bestFit="1" customWidth="1"/>
    <col min="20" max="20" width="17.140625" style="426" bestFit="1" customWidth="1"/>
    <col min="21" max="22" width="17.421875" style="426" bestFit="1" customWidth="1"/>
    <col min="23" max="23" width="17.140625" style="426" bestFit="1" customWidth="1"/>
    <col min="24" max="24" width="16.00390625" style="426" bestFit="1" customWidth="1"/>
    <col min="25" max="26" width="17.421875" style="426" bestFit="1" customWidth="1"/>
    <col min="27" max="28" width="17.140625" style="426" bestFit="1" customWidth="1"/>
    <col min="29" max="36" width="8.8515625" style="426" bestFit="1" customWidth="1"/>
    <col min="37" max="37" width="8.8515625" style="426" customWidth="1"/>
    <col min="38" max="38" width="8.8515625" style="426" bestFit="1" customWidth="1"/>
    <col min="39" max="40" width="1.421875" style="426" customWidth="1"/>
    <col min="41" max="41" width="9.140625" style="426" customWidth="1"/>
    <col min="42" max="42" width="8.7109375" style="426" bestFit="1" customWidth="1"/>
    <col min="43" max="43" width="14.8515625" style="426" bestFit="1" customWidth="1"/>
    <col min="44" max="16384" width="9.140625" style="426" customWidth="1"/>
  </cols>
  <sheetData>
    <row r="1" ht="23.25">
      <c r="A1" s="584" t="s">
        <v>124</v>
      </c>
    </row>
    <row r="2" ht="23.25">
      <c r="A2" s="584" t="s">
        <v>122</v>
      </c>
    </row>
    <row r="3" ht="23.25">
      <c r="A3" s="584" t="s">
        <v>123</v>
      </c>
    </row>
    <row r="4" spans="1:3" ht="21">
      <c r="A4" s="613" t="s">
        <v>157</v>
      </c>
      <c r="B4" s="614"/>
      <c r="C4" s="614"/>
    </row>
    <row r="5" spans="1:40" ht="15">
      <c r="A5" s="465"/>
      <c r="B5" s="465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</row>
    <row r="6" spans="5:40" ht="5.25" customHeight="1">
      <c r="E6" s="477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7"/>
    </row>
    <row r="7" spans="1:44" ht="15.75" thickBot="1">
      <c r="A7" s="479" t="s">
        <v>0</v>
      </c>
      <c r="B7" s="528"/>
      <c r="E7" s="477"/>
      <c r="F7" s="478"/>
      <c r="G7" s="481" t="s">
        <v>64</v>
      </c>
      <c r="H7" s="482">
        <v>42491</v>
      </c>
      <c r="I7" s="483">
        <v>42856</v>
      </c>
      <c r="J7" s="483">
        <v>43221</v>
      </c>
      <c r="K7" s="483">
        <v>43586</v>
      </c>
      <c r="L7" s="483">
        <v>43952</v>
      </c>
      <c r="M7" s="483">
        <v>44317</v>
      </c>
      <c r="N7" s="483">
        <v>44682</v>
      </c>
      <c r="O7" s="483">
        <v>45047</v>
      </c>
      <c r="P7" s="483">
        <v>45413</v>
      </c>
      <c r="Q7" s="483">
        <v>45778</v>
      </c>
      <c r="R7" s="483">
        <v>46143</v>
      </c>
      <c r="S7" s="483">
        <v>46508</v>
      </c>
      <c r="T7" s="483">
        <v>46874</v>
      </c>
      <c r="U7" s="483">
        <v>47239</v>
      </c>
      <c r="V7" s="483">
        <v>47604</v>
      </c>
      <c r="W7" s="483">
        <v>47969</v>
      </c>
      <c r="X7" s="483">
        <v>48335</v>
      </c>
      <c r="Y7" s="483">
        <v>48700</v>
      </c>
      <c r="Z7" s="483">
        <v>49065</v>
      </c>
      <c r="AA7" s="483">
        <v>49430</v>
      </c>
      <c r="AB7" s="483">
        <v>49796</v>
      </c>
      <c r="AC7" s="483">
        <v>50161</v>
      </c>
      <c r="AD7" s="483">
        <v>50526</v>
      </c>
      <c r="AE7" s="483">
        <v>50891</v>
      </c>
      <c r="AF7" s="483">
        <v>51257</v>
      </c>
      <c r="AG7" s="483">
        <v>51622</v>
      </c>
      <c r="AH7" s="483">
        <v>51987</v>
      </c>
      <c r="AI7" s="483">
        <v>52352</v>
      </c>
      <c r="AJ7" s="483">
        <v>52718</v>
      </c>
      <c r="AK7" s="483">
        <v>53083</v>
      </c>
      <c r="AL7" s="483">
        <v>53448</v>
      </c>
      <c r="AM7" s="478"/>
      <c r="AN7" s="477"/>
      <c r="AP7" s="555" t="s">
        <v>45</v>
      </c>
      <c r="AQ7" s="555" t="s">
        <v>46</v>
      </c>
      <c r="AR7" s="555" t="s">
        <v>94</v>
      </c>
    </row>
    <row r="8" spans="1:44" ht="15">
      <c r="A8" s="484" t="s">
        <v>71</v>
      </c>
      <c r="B8" s="488" t="s">
        <v>74</v>
      </c>
      <c r="C8" s="573">
        <f>3000*1.25*C9*1000</f>
        <v>375000000</v>
      </c>
      <c r="D8" s="431"/>
      <c r="E8" s="477"/>
      <c r="F8" s="478"/>
      <c r="G8" s="569" t="s">
        <v>16</v>
      </c>
      <c r="H8" s="570"/>
      <c r="I8" s="571">
        <v>1</v>
      </c>
      <c r="J8" s="571">
        <v>2</v>
      </c>
      <c r="K8" s="571">
        <v>3</v>
      </c>
      <c r="L8" s="571">
        <v>4</v>
      </c>
      <c r="M8" s="571">
        <v>5</v>
      </c>
      <c r="N8" s="571">
        <v>6</v>
      </c>
      <c r="O8" s="571">
        <v>7</v>
      </c>
      <c r="P8" s="571">
        <v>8</v>
      </c>
      <c r="Q8" s="571">
        <v>9</v>
      </c>
      <c r="R8" s="571">
        <v>10</v>
      </c>
      <c r="S8" s="571">
        <v>11</v>
      </c>
      <c r="T8" s="571">
        <v>12</v>
      </c>
      <c r="U8" s="571">
        <v>13</v>
      </c>
      <c r="V8" s="571">
        <v>14</v>
      </c>
      <c r="W8" s="571">
        <v>15</v>
      </c>
      <c r="X8" s="571">
        <v>16</v>
      </c>
      <c r="Y8" s="571">
        <v>17</v>
      </c>
      <c r="Z8" s="571">
        <v>18</v>
      </c>
      <c r="AA8" s="571">
        <v>19</v>
      </c>
      <c r="AB8" s="571">
        <v>20</v>
      </c>
      <c r="AC8" s="571">
        <v>21</v>
      </c>
      <c r="AD8" s="571">
        <v>22</v>
      </c>
      <c r="AE8" s="571">
        <v>23</v>
      </c>
      <c r="AF8" s="571">
        <v>24</v>
      </c>
      <c r="AG8" s="571">
        <v>25</v>
      </c>
      <c r="AH8" s="571">
        <v>26</v>
      </c>
      <c r="AI8" s="571">
        <v>27</v>
      </c>
      <c r="AJ8" s="571">
        <v>28</v>
      </c>
      <c r="AK8" s="571">
        <v>29</v>
      </c>
      <c r="AL8" s="572">
        <v>30</v>
      </c>
      <c r="AM8" s="478"/>
      <c r="AN8" s="477"/>
      <c r="AP8" s="555">
        <v>3</v>
      </c>
      <c r="AQ8" s="555">
        <v>1</v>
      </c>
      <c r="AR8" s="555">
        <v>5</v>
      </c>
    </row>
    <row r="9" spans="1:44" ht="15">
      <c r="A9" s="480" t="s">
        <v>63</v>
      </c>
      <c r="B9" s="488" t="s">
        <v>68</v>
      </c>
      <c r="C9" s="574">
        <v>100</v>
      </c>
      <c r="E9" s="477"/>
      <c r="F9" s="478"/>
      <c r="G9" s="560" t="s">
        <v>17</v>
      </c>
      <c r="H9" s="539"/>
      <c r="I9" s="557">
        <f>(1+$C$30)^(I8-1)</f>
        <v>1</v>
      </c>
      <c r="J9" s="557">
        <f aca="true" t="shared" si="0" ref="J9:AL9">(1+$C$30)^(J8-1)</f>
        <v>1.023</v>
      </c>
      <c r="K9" s="557">
        <f t="shared" si="0"/>
        <v>1.0465289999999998</v>
      </c>
      <c r="L9" s="557">
        <f t="shared" si="0"/>
        <v>1.0705991669999997</v>
      </c>
      <c r="M9" s="557">
        <f t="shared" si="0"/>
        <v>1.0952229478409996</v>
      </c>
      <c r="N9" s="557">
        <f t="shared" si="0"/>
        <v>1.1204130756413424</v>
      </c>
      <c r="O9" s="557">
        <f t="shared" si="0"/>
        <v>1.1461825763810933</v>
      </c>
      <c r="P9" s="557">
        <f t="shared" si="0"/>
        <v>1.1725447756378582</v>
      </c>
      <c r="Q9" s="557">
        <f t="shared" si="0"/>
        <v>1.1995133054775289</v>
      </c>
      <c r="R9" s="557">
        <f t="shared" si="0"/>
        <v>1.227102111503512</v>
      </c>
      <c r="S9" s="557">
        <f t="shared" si="0"/>
        <v>1.2553254600680925</v>
      </c>
      <c r="T9" s="557">
        <f t="shared" si="0"/>
        <v>1.2841979456496586</v>
      </c>
      <c r="U9" s="557">
        <f t="shared" si="0"/>
        <v>1.3137344983996007</v>
      </c>
      <c r="V9" s="557">
        <f t="shared" si="0"/>
        <v>1.3439503918627913</v>
      </c>
      <c r="W9" s="557">
        <f t="shared" si="0"/>
        <v>1.3748612508756355</v>
      </c>
      <c r="X9" s="557">
        <f t="shared" si="0"/>
        <v>1.4064830596457747</v>
      </c>
      <c r="Y9" s="557">
        <f t="shared" si="0"/>
        <v>1.4388321700176274</v>
      </c>
      <c r="Z9" s="557">
        <f t="shared" si="0"/>
        <v>1.4719253099280327</v>
      </c>
      <c r="AA9" s="557">
        <f t="shared" si="0"/>
        <v>1.5057795920563775</v>
      </c>
      <c r="AB9" s="557">
        <f t="shared" si="0"/>
        <v>1.5404125226736738</v>
      </c>
      <c r="AC9" s="557">
        <f t="shared" si="0"/>
        <v>1.5758420106951683</v>
      </c>
      <c r="AD9" s="557">
        <f t="shared" si="0"/>
        <v>1.6120863769411569</v>
      </c>
      <c r="AE9" s="557">
        <f t="shared" si="0"/>
        <v>1.6491643636108035</v>
      </c>
      <c r="AF9" s="557">
        <f t="shared" si="0"/>
        <v>1.6870951439738515</v>
      </c>
      <c r="AG9" s="557">
        <f t="shared" si="0"/>
        <v>1.7258983322852501</v>
      </c>
      <c r="AH9" s="557">
        <f t="shared" si="0"/>
        <v>1.7655939939278107</v>
      </c>
      <c r="AI9" s="557">
        <f t="shared" si="0"/>
        <v>1.80620265578815</v>
      </c>
      <c r="AJ9" s="557">
        <f t="shared" si="0"/>
        <v>1.8477453168712774</v>
      </c>
      <c r="AK9" s="557">
        <f t="shared" si="0"/>
        <v>1.8902434591593167</v>
      </c>
      <c r="AL9" s="464">
        <f t="shared" si="0"/>
        <v>1.9337190587199808</v>
      </c>
      <c r="AM9" s="478"/>
      <c r="AN9" s="477"/>
      <c r="AP9" s="555">
        <v>5</v>
      </c>
      <c r="AQ9" s="555">
        <v>2</v>
      </c>
      <c r="AR9" s="555">
        <v>7</v>
      </c>
    </row>
    <row r="10" spans="1:43" ht="15.75" thickBot="1">
      <c r="A10" s="484" t="s">
        <v>66</v>
      </c>
      <c r="B10" s="488" t="s">
        <v>65</v>
      </c>
      <c r="C10" s="485">
        <v>0.25</v>
      </c>
      <c r="D10" s="542"/>
      <c r="E10" s="477"/>
      <c r="F10" s="478"/>
      <c r="G10" s="458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71"/>
      <c r="AM10" s="478"/>
      <c r="AN10" s="477"/>
      <c r="AP10" s="555">
        <v>7</v>
      </c>
      <c r="AQ10" s="555">
        <v>3</v>
      </c>
    </row>
    <row r="11" spans="1:43" ht="15.75" thickBot="1">
      <c r="A11" s="484" t="s">
        <v>67</v>
      </c>
      <c r="B11" s="488" t="s">
        <v>65</v>
      </c>
      <c r="C11" s="485">
        <v>0.2</v>
      </c>
      <c r="D11" s="542"/>
      <c r="E11" s="477"/>
      <c r="F11" s="478"/>
      <c r="G11" s="497" t="s">
        <v>18</v>
      </c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3"/>
      <c r="AM11" s="478"/>
      <c r="AN11" s="477"/>
      <c r="AP11" s="555">
        <v>10</v>
      </c>
      <c r="AQ11" s="555">
        <v>4</v>
      </c>
    </row>
    <row r="12" spans="1:43" ht="15">
      <c r="A12" s="505" t="s">
        <v>3</v>
      </c>
      <c r="B12" s="518"/>
      <c r="C12" s="493"/>
      <c r="D12" s="542"/>
      <c r="E12" s="477"/>
      <c r="F12" s="478"/>
      <c r="G12" s="551" t="s">
        <v>3</v>
      </c>
      <c r="H12" s="451"/>
      <c r="I12" s="438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71"/>
      <c r="AM12" s="478"/>
      <c r="AN12" s="477"/>
      <c r="AP12" s="555">
        <v>15</v>
      </c>
      <c r="AQ12" s="555">
        <v>5</v>
      </c>
    </row>
    <row r="13" spans="1:43" ht="15">
      <c r="A13" s="484" t="s">
        <v>69</v>
      </c>
      <c r="B13" s="519" t="s">
        <v>80</v>
      </c>
      <c r="C13" s="486">
        <v>65</v>
      </c>
      <c r="D13" s="542"/>
      <c r="E13" s="477"/>
      <c r="F13" s="478"/>
      <c r="G13" s="560" t="s">
        <v>19</v>
      </c>
      <c r="H13" s="539"/>
      <c r="I13" s="546">
        <f aca="true" t="shared" si="1" ref="I13:AL13">IF(I8&gt;$C$32,0,($C$17+$C$9*$C$10*$AQ$41*IF($C$21&lt;&gt;0,MAX((($C$21+1-I8)/$C$21),0),0)*12*1000)*$C$9*$C$10*I9*(1+0.0025)^(I8-1))</f>
        <v>1807672.4999999998</v>
      </c>
      <c r="J13" s="546">
        <f t="shared" si="1"/>
        <v>1864143.5610599997</v>
      </c>
      <c r="K13" s="546">
        <f t="shared" si="1"/>
        <v>1922320.394386733</v>
      </c>
      <c r="L13" s="546">
        <f t="shared" si="1"/>
        <v>1982253.3044340648</v>
      </c>
      <c r="M13" s="546">
        <f t="shared" si="1"/>
        <v>2043994.0527817889</v>
      </c>
      <c r="N13" s="546">
        <f t="shared" si="1"/>
        <v>2107595.8997584577</v>
      </c>
      <c r="O13" s="546">
        <f t="shared" si="1"/>
        <v>2161460.7819665344</v>
      </c>
      <c r="P13" s="546">
        <f t="shared" si="1"/>
        <v>2216702.315901643</v>
      </c>
      <c r="Q13" s="546">
        <f t="shared" si="1"/>
        <v>2273355.6853402993</v>
      </c>
      <c r="R13" s="546">
        <f t="shared" si="1"/>
        <v>2331456.973268384</v>
      </c>
      <c r="S13" s="546">
        <f t="shared" si="1"/>
        <v>2391043.1848626896</v>
      </c>
      <c r="T13" s="546">
        <f t="shared" si="1"/>
        <v>2452152.2710598176</v>
      </c>
      <c r="U13" s="546">
        <f t="shared" si="1"/>
        <v>2514823.1527274293</v>
      </c>
      <c r="V13" s="546">
        <f t="shared" si="1"/>
        <v>2579095.7454532604</v>
      </c>
      <c r="W13" s="546">
        <f t="shared" si="1"/>
        <v>2645010.984967681</v>
      </c>
      <c r="X13" s="546">
        <f t="shared" si="1"/>
        <v>2712610.8532159915</v>
      </c>
      <c r="Y13" s="546">
        <f t="shared" si="1"/>
        <v>2781938.4050970594</v>
      </c>
      <c r="Z13" s="546">
        <f t="shared" si="1"/>
        <v>2853037.7958853273</v>
      </c>
      <c r="AA13" s="546">
        <f t="shared" si="1"/>
        <v>2925954.309353667</v>
      </c>
      <c r="AB13" s="546">
        <f t="shared" si="1"/>
        <v>3000734.386614972</v>
      </c>
      <c r="AC13" s="546">
        <f t="shared" si="1"/>
        <v>0</v>
      </c>
      <c r="AD13" s="546">
        <f t="shared" si="1"/>
        <v>0</v>
      </c>
      <c r="AE13" s="546">
        <f t="shared" si="1"/>
        <v>0</v>
      </c>
      <c r="AF13" s="546">
        <f t="shared" si="1"/>
        <v>0</v>
      </c>
      <c r="AG13" s="546">
        <f t="shared" si="1"/>
        <v>0</v>
      </c>
      <c r="AH13" s="546">
        <f t="shared" si="1"/>
        <v>0</v>
      </c>
      <c r="AI13" s="546">
        <f t="shared" si="1"/>
        <v>0</v>
      </c>
      <c r="AJ13" s="546">
        <f t="shared" si="1"/>
        <v>0</v>
      </c>
      <c r="AK13" s="546">
        <f t="shared" si="1"/>
        <v>0</v>
      </c>
      <c r="AL13" s="525">
        <f t="shared" si="1"/>
        <v>0</v>
      </c>
      <c r="AM13" s="478"/>
      <c r="AN13" s="477"/>
      <c r="AP13" s="555">
        <v>20</v>
      </c>
      <c r="AQ13" s="555">
        <v>6</v>
      </c>
    </row>
    <row r="14" spans="1:43" ht="15">
      <c r="A14" s="484" t="s">
        <v>137</v>
      </c>
      <c r="B14" s="579" t="s">
        <v>80</v>
      </c>
      <c r="C14" s="486">
        <v>25</v>
      </c>
      <c r="D14" s="542"/>
      <c r="E14" s="477"/>
      <c r="F14" s="478"/>
      <c r="G14" s="561" t="s">
        <v>2</v>
      </c>
      <c r="H14" s="538"/>
      <c r="I14" s="544">
        <f aca="true" t="shared" si="2" ref="I14:AL14">MAX(0,IF(I$8&gt;$C$32,0,IF($C$22=0,$C$15,IF($C$22=1,$C$15*I9,$C$15*(I9^$C$22)))))</f>
        <v>11388000</v>
      </c>
      <c r="J14" s="544">
        <f t="shared" si="2"/>
        <v>11649923.999999998</v>
      </c>
      <c r="K14" s="544">
        <f t="shared" si="2"/>
        <v>11917872.251999998</v>
      </c>
      <c r="L14" s="544">
        <f t="shared" si="2"/>
        <v>12191983.313795997</v>
      </c>
      <c r="M14" s="544">
        <f t="shared" si="2"/>
        <v>12472398.930013303</v>
      </c>
      <c r="N14" s="544">
        <f t="shared" si="2"/>
        <v>12759264.105403608</v>
      </c>
      <c r="O14" s="544">
        <f t="shared" si="2"/>
        <v>13052727.179827891</v>
      </c>
      <c r="P14" s="544">
        <f t="shared" si="2"/>
        <v>13352939.90496393</v>
      </c>
      <c r="Q14" s="544">
        <f t="shared" si="2"/>
        <v>13660057.5227781</v>
      </c>
      <c r="R14" s="544">
        <f t="shared" si="2"/>
        <v>13974238.845801994</v>
      </c>
      <c r="S14" s="544">
        <f t="shared" si="2"/>
        <v>14295646.339255437</v>
      </c>
      <c r="T14" s="544">
        <f t="shared" si="2"/>
        <v>14624446.205058312</v>
      </c>
      <c r="U14" s="544">
        <f t="shared" si="2"/>
        <v>14960808.467774652</v>
      </c>
      <c r="V14" s="544">
        <f t="shared" si="2"/>
        <v>15304907.062533468</v>
      </c>
      <c r="W14" s="544">
        <f t="shared" si="2"/>
        <v>15656919.924971737</v>
      </c>
      <c r="X14" s="544">
        <f t="shared" si="2"/>
        <v>16017029.083246082</v>
      </c>
      <c r="Y14" s="544">
        <f t="shared" si="2"/>
        <v>16385420.752160741</v>
      </c>
      <c r="Z14" s="544">
        <f t="shared" si="2"/>
        <v>16762285.429460436</v>
      </c>
      <c r="AA14" s="544">
        <f t="shared" si="2"/>
        <v>17147817.994338028</v>
      </c>
      <c r="AB14" s="544">
        <f t="shared" si="2"/>
        <v>17542217.8082078</v>
      </c>
      <c r="AC14" s="544">
        <f t="shared" si="2"/>
        <v>0</v>
      </c>
      <c r="AD14" s="544">
        <f t="shared" si="2"/>
        <v>0</v>
      </c>
      <c r="AE14" s="544">
        <f t="shared" si="2"/>
        <v>0</v>
      </c>
      <c r="AF14" s="544">
        <f t="shared" si="2"/>
        <v>0</v>
      </c>
      <c r="AG14" s="544">
        <f t="shared" si="2"/>
        <v>0</v>
      </c>
      <c r="AH14" s="544">
        <f t="shared" si="2"/>
        <v>0</v>
      </c>
      <c r="AI14" s="544">
        <f t="shared" si="2"/>
        <v>0</v>
      </c>
      <c r="AJ14" s="544">
        <f t="shared" si="2"/>
        <v>0</v>
      </c>
      <c r="AK14" s="544">
        <f t="shared" si="2"/>
        <v>0</v>
      </c>
      <c r="AL14" s="475">
        <f t="shared" si="2"/>
        <v>0</v>
      </c>
      <c r="AM14" s="478"/>
      <c r="AN14" s="477"/>
      <c r="AP14" s="555"/>
      <c r="AQ14" s="555">
        <v>7</v>
      </c>
    </row>
    <row r="15" spans="1:43" ht="15">
      <c r="A15" s="480" t="s">
        <v>70</v>
      </c>
      <c r="B15" s="430" t="s">
        <v>89</v>
      </c>
      <c r="C15" s="466">
        <f>C13*C11*C9*8760</f>
        <v>11388000</v>
      </c>
      <c r="D15" s="542"/>
      <c r="E15" s="477"/>
      <c r="F15" s="478"/>
      <c r="G15" s="561" t="s">
        <v>135</v>
      </c>
      <c r="H15" s="538"/>
      <c r="I15" s="544">
        <f aca="true" t="shared" si="3" ref="I15:AL15">MAX(0,IF(I$8&gt;$C$32,0,IF($C$22=0,$C$16,IF($C$22=1,$C$16*I9,$C$16*(I9^$C$22)))))</f>
        <v>4380000</v>
      </c>
      <c r="J15" s="544">
        <f t="shared" si="3"/>
        <v>4480740</v>
      </c>
      <c r="K15" s="544">
        <f t="shared" si="3"/>
        <v>4583797.02</v>
      </c>
      <c r="L15" s="544">
        <f t="shared" si="3"/>
        <v>4689224.351459999</v>
      </c>
      <c r="M15" s="544">
        <f t="shared" si="3"/>
        <v>4797076.5115435785</v>
      </c>
      <c r="N15" s="544">
        <f t="shared" si="3"/>
        <v>4907409.27130908</v>
      </c>
      <c r="O15" s="544">
        <f t="shared" si="3"/>
        <v>5020279.684549189</v>
      </c>
      <c r="P15" s="544">
        <f t="shared" si="3"/>
        <v>5135746.117293819</v>
      </c>
      <c r="Q15" s="544">
        <f t="shared" si="3"/>
        <v>5253868.277991576</v>
      </c>
      <c r="R15" s="544">
        <f t="shared" si="3"/>
        <v>5374707.248385382</v>
      </c>
      <c r="S15" s="544">
        <f t="shared" si="3"/>
        <v>5498325.515098245</v>
      </c>
      <c r="T15" s="544">
        <f t="shared" si="3"/>
        <v>5624787.001945505</v>
      </c>
      <c r="U15" s="544">
        <f t="shared" si="3"/>
        <v>5754157.102990251</v>
      </c>
      <c r="V15" s="544">
        <f t="shared" si="3"/>
        <v>5886502.716359026</v>
      </c>
      <c r="W15" s="544">
        <f t="shared" si="3"/>
        <v>6021892.278835284</v>
      </c>
      <c r="X15" s="544">
        <f t="shared" si="3"/>
        <v>6160395.801248494</v>
      </c>
      <c r="Y15" s="544">
        <f t="shared" si="3"/>
        <v>6302084.9046772085</v>
      </c>
      <c r="Z15" s="544">
        <f t="shared" si="3"/>
        <v>6447032.857484783</v>
      </c>
      <c r="AA15" s="544">
        <f t="shared" si="3"/>
        <v>6595314.613206933</v>
      </c>
      <c r="AB15" s="544">
        <f t="shared" si="3"/>
        <v>6747006.8493106915</v>
      </c>
      <c r="AC15" s="544">
        <f t="shared" si="3"/>
        <v>0</v>
      </c>
      <c r="AD15" s="544">
        <f t="shared" si="3"/>
        <v>0</v>
      </c>
      <c r="AE15" s="544">
        <f t="shared" si="3"/>
        <v>0</v>
      </c>
      <c r="AF15" s="544">
        <f t="shared" si="3"/>
        <v>0</v>
      </c>
      <c r="AG15" s="544">
        <f t="shared" si="3"/>
        <v>0</v>
      </c>
      <c r="AH15" s="544">
        <f t="shared" si="3"/>
        <v>0</v>
      </c>
      <c r="AI15" s="544">
        <f t="shared" si="3"/>
        <v>0</v>
      </c>
      <c r="AJ15" s="544">
        <f t="shared" si="3"/>
        <v>0</v>
      </c>
      <c r="AK15" s="544">
        <f t="shared" si="3"/>
        <v>0</v>
      </c>
      <c r="AL15" s="475">
        <f t="shared" si="3"/>
        <v>0</v>
      </c>
      <c r="AM15" s="478"/>
      <c r="AN15" s="477"/>
      <c r="AP15" s="555"/>
      <c r="AQ15" s="555">
        <v>8</v>
      </c>
    </row>
    <row r="16" spans="1:43" ht="15.75" thickBot="1">
      <c r="A16" s="484" t="s">
        <v>135</v>
      </c>
      <c r="B16" s="430" t="s">
        <v>89</v>
      </c>
      <c r="C16" s="466">
        <f>C14*C11*C9*8760</f>
        <v>4380000</v>
      </c>
      <c r="D16" s="542"/>
      <c r="E16" s="477"/>
      <c r="F16" s="478"/>
      <c r="G16" s="453" t="s">
        <v>20</v>
      </c>
      <c r="H16" s="537"/>
      <c r="I16" s="443">
        <f>SUM(I13:I15)</f>
        <v>17575672.5</v>
      </c>
      <c r="J16" s="443">
        <f aca="true" t="shared" si="4" ref="J16:AL16">SUM(J13:J15)</f>
        <v>17994807.561059996</v>
      </c>
      <c r="K16" s="443">
        <f t="shared" si="4"/>
        <v>18423989.66638673</v>
      </c>
      <c r="L16" s="443">
        <f t="shared" si="4"/>
        <v>18863460.969690062</v>
      </c>
      <c r="M16" s="443">
        <f t="shared" si="4"/>
        <v>19313469.49433867</v>
      </c>
      <c r="N16" s="443">
        <f t="shared" si="4"/>
        <v>19774269.276471145</v>
      </c>
      <c r="O16" s="443">
        <f t="shared" si="4"/>
        <v>20234467.646343615</v>
      </c>
      <c r="P16" s="443">
        <f t="shared" si="4"/>
        <v>20705388.33815939</v>
      </c>
      <c r="Q16" s="443">
        <f t="shared" si="4"/>
        <v>21187281.486109972</v>
      </c>
      <c r="R16" s="443">
        <f t="shared" si="4"/>
        <v>21680403.06745576</v>
      </c>
      <c r="S16" s="443">
        <f t="shared" si="4"/>
        <v>22185015.039216373</v>
      </c>
      <c r="T16" s="443">
        <f t="shared" si="4"/>
        <v>22701385.478063636</v>
      </c>
      <c r="U16" s="443">
        <f t="shared" si="4"/>
        <v>23229788.72349233</v>
      </c>
      <c r="V16" s="443">
        <f t="shared" si="4"/>
        <v>23770505.524345756</v>
      </c>
      <c r="W16" s="443">
        <f t="shared" si="4"/>
        <v>24323823.188774705</v>
      </c>
      <c r="X16" s="443">
        <f t="shared" si="4"/>
        <v>24890035.73771057</v>
      </c>
      <c r="Y16" s="443">
        <f t="shared" si="4"/>
        <v>25469444.061935008</v>
      </c>
      <c r="Z16" s="443">
        <f t="shared" si="4"/>
        <v>26062356.08283055</v>
      </c>
      <c r="AA16" s="443">
        <f t="shared" si="4"/>
        <v>26669086.91689863</v>
      </c>
      <c r="AB16" s="443">
        <f t="shared" si="4"/>
        <v>27289959.044133462</v>
      </c>
      <c r="AC16" s="443">
        <f t="shared" si="4"/>
        <v>0</v>
      </c>
      <c r="AD16" s="443">
        <f t="shared" si="4"/>
        <v>0</v>
      </c>
      <c r="AE16" s="443">
        <f t="shared" si="4"/>
        <v>0</v>
      </c>
      <c r="AF16" s="443">
        <f t="shared" si="4"/>
        <v>0</v>
      </c>
      <c r="AG16" s="443">
        <f t="shared" si="4"/>
        <v>0</v>
      </c>
      <c r="AH16" s="443">
        <f t="shared" si="4"/>
        <v>0</v>
      </c>
      <c r="AI16" s="443">
        <f t="shared" si="4"/>
        <v>0</v>
      </c>
      <c r="AJ16" s="443">
        <f t="shared" si="4"/>
        <v>0</v>
      </c>
      <c r="AK16" s="443">
        <f t="shared" si="4"/>
        <v>0</v>
      </c>
      <c r="AL16" s="513">
        <f t="shared" si="4"/>
        <v>0</v>
      </c>
      <c r="AM16" s="478"/>
      <c r="AN16" s="477"/>
      <c r="AP16" s="555"/>
      <c r="AQ16" s="555">
        <v>9</v>
      </c>
    </row>
    <row r="17" spans="1:43" ht="15.75" thickTop="1">
      <c r="A17" s="484" t="s">
        <v>47</v>
      </c>
      <c r="B17" s="430" t="s">
        <v>87</v>
      </c>
      <c r="C17" s="516">
        <f>'ICAP Price&amp;Impact'!O28</f>
        <v>74310</v>
      </c>
      <c r="D17" s="432"/>
      <c r="E17" s="477"/>
      <c r="F17" s="478"/>
      <c r="G17" s="454" t="s">
        <v>4</v>
      </c>
      <c r="H17" s="449"/>
      <c r="I17" s="543"/>
      <c r="J17" s="428"/>
      <c r="K17" s="428"/>
      <c r="L17" s="428"/>
      <c r="M17" s="428"/>
      <c r="N17" s="428"/>
      <c r="O17" s="428"/>
      <c r="P17" s="428"/>
      <c r="Q17" s="428"/>
      <c r="R17" s="428"/>
      <c r="S17" s="491"/>
      <c r="T17" s="506"/>
      <c r="U17" s="491"/>
      <c r="V17" s="491"/>
      <c r="W17" s="491"/>
      <c r="X17" s="491"/>
      <c r="Y17" s="491"/>
      <c r="Z17" s="428"/>
      <c r="AA17" s="428"/>
      <c r="AB17" s="428"/>
      <c r="AC17" s="428"/>
      <c r="AD17" s="428"/>
      <c r="AE17" s="428"/>
      <c r="AF17" s="428"/>
      <c r="AG17" s="428"/>
      <c r="AH17" s="428"/>
      <c r="AI17" s="491"/>
      <c r="AJ17" s="506"/>
      <c r="AK17" s="491"/>
      <c r="AL17" s="469"/>
      <c r="AM17" s="478"/>
      <c r="AN17" s="477"/>
      <c r="AP17" s="555"/>
      <c r="AQ17" s="555">
        <v>10</v>
      </c>
    </row>
    <row r="18" spans="1:43" ht="15">
      <c r="A18" s="484" t="s">
        <v>102</v>
      </c>
      <c r="B18" s="540" t="s">
        <v>65</v>
      </c>
      <c r="C18" s="467">
        <v>1</v>
      </c>
      <c r="E18" s="477"/>
      <c r="F18" s="478"/>
      <c r="G18" s="560" t="s">
        <v>5</v>
      </c>
      <c r="H18" s="539"/>
      <c r="I18" s="546">
        <f>IF(I8&gt;$C$32,0,-$C$36)</f>
        <v>-3750000</v>
      </c>
      <c r="J18" s="533">
        <f aca="true" t="shared" si="5" ref="J18:AL18">IF(J8&gt;$C$32,0,$I$18*J9)</f>
        <v>-3836249.9999999995</v>
      </c>
      <c r="K18" s="533">
        <f t="shared" si="5"/>
        <v>-3924483.7499999995</v>
      </c>
      <c r="L18" s="533">
        <f t="shared" si="5"/>
        <v>-4014746.876249999</v>
      </c>
      <c r="M18" s="533">
        <f t="shared" si="5"/>
        <v>-4107086.0544037484</v>
      </c>
      <c r="N18" s="533">
        <f t="shared" si="5"/>
        <v>-4201549.033655034</v>
      </c>
      <c r="O18" s="533">
        <f t="shared" si="5"/>
        <v>-4298184.6614291</v>
      </c>
      <c r="P18" s="533">
        <f t="shared" si="5"/>
        <v>-4397042.908641968</v>
      </c>
      <c r="Q18" s="533">
        <f t="shared" si="5"/>
        <v>-4498174.895540733</v>
      </c>
      <c r="R18" s="533">
        <f t="shared" si="5"/>
        <v>-4601632.91813817</v>
      </c>
      <c r="S18" s="507">
        <f t="shared" si="5"/>
        <v>-4707470.475255347</v>
      </c>
      <c r="T18" s="507">
        <f t="shared" si="5"/>
        <v>-4815742.29618622</v>
      </c>
      <c r="U18" s="507">
        <f t="shared" si="5"/>
        <v>-4926504.368998502</v>
      </c>
      <c r="V18" s="507">
        <f t="shared" si="5"/>
        <v>-5039813.969485467</v>
      </c>
      <c r="W18" s="507">
        <f t="shared" si="5"/>
        <v>-5155729.690783633</v>
      </c>
      <c r="X18" s="507">
        <f t="shared" si="5"/>
        <v>-5274311.473671655</v>
      </c>
      <c r="Y18" s="507">
        <f t="shared" si="5"/>
        <v>-5395620.637566103</v>
      </c>
      <c r="Z18" s="507">
        <f t="shared" si="5"/>
        <v>-5519719.912230123</v>
      </c>
      <c r="AA18" s="507">
        <f t="shared" si="5"/>
        <v>-5646673.470211416</v>
      </c>
      <c r="AB18" s="507">
        <f t="shared" si="5"/>
        <v>-5776546.960026276</v>
      </c>
      <c r="AC18" s="507">
        <f t="shared" si="5"/>
        <v>0</v>
      </c>
      <c r="AD18" s="507">
        <f t="shared" si="5"/>
        <v>0</v>
      </c>
      <c r="AE18" s="507">
        <f t="shared" si="5"/>
        <v>0</v>
      </c>
      <c r="AF18" s="507">
        <f t="shared" si="5"/>
        <v>0</v>
      </c>
      <c r="AG18" s="507">
        <f t="shared" si="5"/>
        <v>0</v>
      </c>
      <c r="AH18" s="507">
        <f t="shared" si="5"/>
        <v>0</v>
      </c>
      <c r="AI18" s="507">
        <f t="shared" si="5"/>
        <v>0</v>
      </c>
      <c r="AJ18" s="507">
        <f t="shared" si="5"/>
        <v>0</v>
      </c>
      <c r="AK18" s="507">
        <f t="shared" si="5"/>
        <v>0</v>
      </c>
      <c r="AL18" s="468">
        <f t="shared" si="5"/>
        <v>0</v>
      </c>
      <c r="AM18" s="478"/>
      <c r="AN18" s="477"/>
      <c r="AQ18" s="555">
        <v>11</v>
      </c>
    </row>
    <row r="19" spans="1:43" ht="15">
      <c r="A19" s="484" t="s">
        <v>103</v>
      </c>
      <c r="B19" s="540" t="s">
        <v>65</v>
      </c>
      <c r="C19" s="467">
        <v>1</v>
      </c>
      <c r="D19" s="432"/>
      <c r="E19" s="477"/>
      <c r="F19" s="478"/>
      <c r="G19" s="560" t="s">
        <v>6</v>
      </c>
      <c r="H19" s="539"/>
      <c r="I19" s="544">
        <f>IF(I8&gt;$C$32,0,-$C$37)</f>
        <v>0</v>
      </c>
      <c r="J19" s="450">
        <f aca="true" t="shared" si="6" ref="J19:AL19">IF(J8&gt;$C$32,0,$I$19*J9)</f>
        <v>0</v>
      </c>
      <c r="K19" s="450">
        <f t="shared" si="6"/>
        <v>0</v>
      </c>
      <c r="L19" s="450">
        <f t="shared" si="6"/>
        <v>0</v>
      </c>
      <c r="M19" s="450">
        <f t="shared" si="6"/>
        <v>0</v>
      </c>
      <c r="N19" s="450">
        <f t="shared" si="6"/>
        <v>0</v>
      </c>
      <c r="O19" s="450">
        <f t="shared" si="6"/>
        <v>0</v>
      </c>
      <c r="P19" s="450">
        <f t="shared" si="6"/>
        <v>0</v>
      </c>
      <c r="Q19" s="450">
        <f t="shared" si="6"/>
        <v>0</v>
      </c>
      <c r="R19" s="450">
        <f t="shared" si="6"/>
        <v>0</v>
      </c>
      <c r="S19" s="517">
        <f t="shared" si="6"/>
        <v>0</v>
      </c>
      <c r="T19" s="517">
        <f t="shared" si="6"/>
        <v>0</v>
      </c>
      <c r="U19" s="517">
        <f t="shared" si="6"/>
        <v>0</v>
      </c>
      <c r="V19" s="517">
        <f t="shared" si="6"/>
        <v>0</v>
      </c>
      <c r="W19" s="517">
        <f t="shared" si="6"/>
        <v>0</v>
      </c>
      <c r="X19" s="517">
        <f t="shared" si="6"/>
        <v>0</v>
      </c>
      <c r="Y19" s="517">
        <f t="shared" si="6"/>
        <v>0</v>
      </c>
      <c r="Z19" s="517">
        <f t="shared" si="6"/>
        <v>0</v>
      </c>
      <c r="AA19" s="517">
        <f t="shared" si="6"/>
        <v>0</v>
      </c>
      <c r="AB19" s="517">
        <f t="shared" si="6"/>
        <v>0</v>
      </c>
      <c r="AC19" s="517">
        <f t="shared" si="6"/>
        <v>0</v>
      </c>
      <c r="AD19" s="517">
        <f t="shared" si="6"/>
        <v>0</v>
      </c>
      <c r="AE19" s="517">
        <f t="shared" si="6"/>
        <v>0</v>
      </c>
      <c r="AF19" s="517">
        <f t="shared" si="6"/>
        <v>0</v>
      </c>
      <c r="AG19" s="517">
        <f t="shared" si="6"/>
        <v>0</v>
      </c>
      <c r="AH19" s="517">
        <f t="shared" si="6"/>
        <v>0</v>
      </c>
      <c r="AI19" s="517">
        <f t="shared" si="6"/>
        <v>0</v>
      </c>
      <c r="AJ19" s="517">
        <f t="shared" si="6"/>
        <v>0</v>
      </c>
      <c r="AK19" s="517">
        <f t="shared" si="6"/>
        <v>0</v>
      </c>
      <c r="AL19" s="468">
        <f t="shared" si="6"/>
        <v>0</v>
      </c>
      <c r="AM19" s="478"/>
      <c r="AN19" s="477"/>
      <c r="AQ19" s="555">
        <v>12</v>
      </c>
    </row>
    <row r="20" spans="1:43" ht="15">
      <c r="A20" s="480" t="s">
        <v>78</v>
      </c>
      <c r="B20" s="488"/>
      <c r="C20" s="552">
        <f>-C18*'ICAP Price&amp;Impact'!P38-C19*'ICAP Price&amp;Impact'!P19</f>
        <v>81824368.18000007</v>
      </c>
      <c r="D20" s="432"/>
      <c r="E20" s="477"/>
      <c r="F20" s="478"/>
      <c r="G20" s="560" t="s">
        <v>7</v>
      </c>
      <c r="H20" s="539"/>
      <c r="I20" s="544">
        <f aca="true" t="shared" si="7" ref="I20:AL20">IF(I8&gt;$C$32,0,-$C$38)</f>
        <v>0</v>
      </c>
      <c r="J20" s="544">
        <f t="shared" si="7"/>
        <v>0</v>
      </c>
      <c r="K20" s="544">
        <f t="shared" si="7"/>
        <v>0</v>
      </c>
      <c r="L20" s="544">
        <f t="shared" si="7"/>
        <v>0</v>
      </c>
      <c r="M20" s="544">
        <f t="shared" si="7"/>
        <v>0</v>
      </c>
      <c r="N20" s="544">
        <f t="shared" si="7"/>
        <v>0</v>
      </c>
      <c r="O20" s="544">
        <f t="shared" si="7"/>
        <v>0</v>
      </c>
      <c r="P20" s="544">
        <f t="shared" si="7"/>
        <v>0</v>
      </c>
      <c r="Q20" s="544">
        <f t="shared" si="7"/>
        <v>0</v>
      </c>
      <c r="R20" s="544">
        <f t="shared" si="7"/>
        <v>0</v>
      </c>
      <c r="S20" s="499">
        <f t="shared" si="7"/>
        <v>0</v>
      </c>
      <c r="T20" s="499">
        <f t="shared" si="7"/>
        <v>0</v>
      </c>
      <c r="U20" s="499">
        <f t="shared" si="7"/>
        <v>0</v>
      </c>
      <c r="V20" s="499">
        <f t="shared" si="7"/>
        <v>0</v>
      </c>
      <c r="W20" s="499">
        <f t="shared" si="7"/>
        <v>0</v>
      </c>
      <c r="X20" s="499">
        <f t="shared" si="7"/>
        <v>0</v>
      </c>
      <c r="Y20" s="499">
        <f t="shared" si="7"/>
        <v>0</v>
      </c>
      <c r="Z20" s="544">
        <f t="shared" si="7"/>
        <v>0</v>
      </c>
      <c r="AA20" s="544">
        <f t="shared" si="7"/>
        <v>0</v>
      </c>
      <c r="AB20" s="544">
        <f t="shared" si="7"/>
        <v>0</v>
      </c>
      <c r="AC20" s="544">
        <f t="shared" si="7"/>
        <v>0</v>
      </c>
      <c r="AD20" s="544">
        <f t="shared" si="7"/>
        <v>0</v>
      </c>
      <c r="AE20" s="544">
        <f t="shared" si="7"/>
        <v>0</v>
      </c>
      <c r="AF20" s="544">
        <f t="shared" si="7"/>
        <v>0</v>
      </c>
      <c r="AG20" s="544">
        <f t="shared" si="7"/>
        <v>0</v>
      </c>
      <c r="AH20" s="544">
        <f t="shared" si="7"/>
        <v>0</v>
      </c>
      <c r="AI20" s="499">
        <f t="shared" si="7"/>
        <v>0</v>
      </c>
      <c r="AJ20" s="499">
        <f t="shared" si="7"/>
        <v>0</v>
      </c>
      <c r="AK20" s="499">
        <f t="shared" si="7"/>
        <v>0</v>
      </c>
      <c r="AL20" s="468">
        <f t="shared" si="7"/>
        <v>0</v>
      </c>
      <c r="AM20" s="478"/>
      <c r="AN20" s="477"/>
      <c r="AQ20" s="555">
        <v>13</v>
      </c>
    </row>
    <row r="21" spans="1:43" ht="15">
      <c r="A21" s="484" t="s">
        <v>76</v>
      </c>
      <c r="B21" s="553" t="s">
        <v>88</v>
      </c>
      <c r="C21" s="473">
        <v>5</v>
      </c>
      <c r="D21" s="432"/>
      <c r="E21" s="477"/>
      <c r="F21" s="478"/>
      <c r="G21" s="560" t="s">
        <v>152</v>
      </c>
      <c r="H21" s="539"/>
      <c r="I21" s="544">
        <f>IF(I8&gt;$C$32,0,-$C$39)</f>
        <v>0</v>
      </c>
      <c r="J21" s="544">
        <f aca="true" t="shared" si="8" ref="J21:AL21">IF(J8&gt;$C$32,0,-$C$39)</f>
        <v>0</v>
      </c>
      <c r="K21" s="544">
        <f t="shared" si="8"/>
        <v>0</v>
      </c>
      <c r="L21" s="544">
        <f t="shared" si="8"/>
        <v>0</v>
      </c>
      <c r="M21" s="544">
        <f t="shared" si="8"/>
        <v>0</v>
      </c>
      <c r="N21" s="544">
        <f t="shared" si="8"/>
        <v>0</v>
      </c>
      <c r="O21" s="544">
        <f t="shared" si="8"/>
        <v>0</v>
      </c>
      <c r="P21" s="544">
        <f t="shared" si="8"/>
        <v>0</v>
      </c>
      <c r="Q21" s="544">
        <f t="shared" si="8"/>
        <v>0</v>
      </c>
      <c r="R21" s="544">
        <f t="shared" si="8"/>
        <v>0</v>
      </c>
      <c r="S21" s="499">
        <f t="shared" si="8"/>
        <v>0</v>
      </c>
      <c r="T21" s="499">
        <f t="shared" si="8"/>
        <v>0</v>
      </c>
      <c r="U21" s="499">
        <f t="shared" si="8"/>
        <v>0</v>
      </c>
      <c r="V21" s="499">
        <f t="shared" si="8"/>
        <v>0</v>
      </c>
      <c r="W21" s="499">
        <f t="shared" si="8"/>
        <v>0</v>
      </c>
      <c r="X21" s="499">
        <f t="shared" si="8"/>
        <v>0</v>
      </c>
      <c r="Y21" s="499">
        <f t="shared" si="8"/>
        <v>0</v>
      </c>
      <c r="Z21" s="544">
        <f t="shared" si="8"/>
        <v>0</v>
      </c>
      <c r="AA21" s="544">
        <f t="shared" si="8"/>
        <v>0</v>
      </c>
      <c r="AB21" s="544">
        <f t="shared" si="8"/>
        <v>0</v>
      </c>
      <c r="AC21" s="544">
        <f t="shared" si="8"/>
        <v>0</v>
      </c>
      <c r="AD21" s="544">
        <f t="shared" si="8"/>
        <v>0</v>
      </c>
      <c r="AE21" s="544">
        <f t="shared" si="8"/>
        <v>0</v>
      </c>
      <c r="AF21" s="544">
        <f t="shared" si="8"/>
        <v>0</v>
      </c>
      <c r="AG21" s="544">
        <f t="shared" si="8"/>
        <v>0</v>
      </c>
      <c r="AH21" s="544">
        <f t="shared" si="8"/>
        <v>0</v>
      </c>
      <c r="AI21" s="499">
        <f t="shared" si="8"/>
        <v>0</v>
      </c>
      <c r="AJ21" s="499">
        <f t="shared" si="8"/>
        <v>0</v>
      </c>
      <c r="AK21" s="499">
        <f t="shared" si="8"/>
        <v>0</v>
      </c>
      <c r="AL21" s="468">
        <f t="shared" si="8"/>
        <v>0</v>
      </c>
      <c r="AM21" s="478"/>
      <c r="AN21" s="477"/>
      <c r="AQ21" s="555">
        <v>14</v>
      </c>
    </row>
    <row r="22" spans="1:43" ht="15.75" thickBot="1">
      <c r="A22" s="480" t="s">
        <v>48</v>
      </c>
      <c r="B22" s="430"/>
      <c r="C22" s="474">
        <v>1</v>
      </c>
      <c r="D22" s="433"/>
      <c r="E22" s="477"/>
      <c r="F22" s="478"/>
      <c r="G22" s="455" t="s">
        <v>21</v>
      </c>
      <c r="H22" s="536"/>
      <c r="I22" s="445">
        <f>SUM(I18:I21)</f>
        <v>-3750000</v>
      </c>
      <c r="J22" s="446">
        <f aca="true" t="shared" si="9" ref="J22:AL22">SUM(J18:J21)</f>
        <v>-3836249.9999999995</v>
      </c>
      <c r="K22" s="446">
        <f t="shared" si="9"/>
        <v>-3924483.7499999995</v>
      </c>
      <c r="L22" s="446">
        <f t="shared" si="9"/>
        <v>-4014746.876249999</v>
      </c>
      <c r="M22" s="446">
        <f t="shared" si="9"/>
        <v>-4107086.0544037484</v>
      </c>
      <c r="N22" s="446">
        <f t="shared" si="9"/>
        <v>-4201549.033655034</v>
      </c>
      <c r="O22" s="446">
        <f t="shared" si="9"/>
        <v>-4298184.6614291</v>
      </c>
      <c r="P22" s="446">
        <f t="shared" si="9"/>
        <v>-4397042.908641968</v>
      </c>
      <c r="Q22" s="446">
        <f t="shared" si="9"/>
        <v>-4498174.895540733</v>
      </c>
      <c r="R22" s="446">
        <f t="shared" si="9"/>
        <v>-4601632.91813817</v>
      </c>
      <c r="S22" s="494">
        <f t="shared" si="9"/>
        <v>-4707470.475255347</v>
      </c>
      <c r="T22" s="494">
        <f t="shared" si="9"/>
        <v>-4815742.29618622</v>
      </c>
      <c r="U22" s="494">
        <f t="shared" si="9"/>
        <v>-4926504.368998502</v>
      </c>
      <c r="V22" s="494">
        <f t="shared" si="9"/>
        <v>-5039813.969485467</v>
      </c>
      <c r="W22" s="494">
        <f t="shared" si="9"/>
        <v>-5155729.690783633</v>
      </c>
      <c r="X22" s="494">
        <f t="shared" si="9"/>
        <v>-5274311.473671655</v>
      </c>
      <c r="Y22" s="494">
        <f t="shared" si="9"/>
        <v>-5395620.637566103</v>
      </c>
      <c r="Z22" s="446">
        <f t="shared" si="9"/>
        <v>-5519719.912230123</v>
      </c>
      <c r="AA22" s="446">
        <f t="shared" si="9"/>
        <v>-5646673.470211416</v>
      </c>
      <c r="AB22" s="446">
        <f t="shared" si="9"/>
        <v>-5776546.960026276</v>
      </c>
      <c r="AC22" s="446">
        <f t="shared" si="9"/>
        <v>0</v>
      </c>
      <c r="AD22" s="446">
        <f t="shared" si="9"/>
        <v>0</v>
      </c>
      <c r="AE22" s="446">
        <f t="shared" si="9"/>
        <v>0</v>
      </c>
      <c r="AF22" s="446">
        <f t="shared" si="9"/>
        <v>0</v>
      </c>
      <c r="AG22" s="446">
        <f t="shared" si="9"/>
        <v>0</v>
      </c>
      <c r="AH22" s="446">
        <f t="shared" si="9"/>
        <v>0</v>
      </c>
      <c r="AI22" s="494">
        <f t="shared" si="9"/>
        <v>0</v>
      </c>
      <c r="AJ22" s="494">
        <f t="shared" si="9"/>
        <v>0</v>
      </c>
      <c r="AK22" s="494">
        <f t="shared" si="9"/>
        <v>0</v>
      </c>
      <c r="AL22" s="470">
        <f t="shared" si="9"/>
        <v>0</v>
      </c>
      <c r="AM22" s="478"/>
      <c r="AN22" s="477"/>
      <c r="AQ22" s="555">
        <v>15</v>
      </c>
    </row>
    <row r="23" spans="1:43" ht="15.75" thickTop="1">
      <c r="A23" s="484" t="s">
        <v>132</v>
      </c>
      <c r="B23" s="540"/>
      <c r="C23" s="251" t="s">
        <v>133</v>
      </c>
      <c r="D23" s="433"/>
      <c r="E23" s="477"/>
      <c r="F23" s="478"/>
      <c r="G23" s="456"/>
      <c r="H23" s="428"/>
      <c r="I23" s="543"/>
      <c r="J23" s="428"/>
      <c r="K23" s="428"/>
      <c r="L23" s="428"/>
      <c r="M23" s="428"/>
      <c r="N23" s="428"/>
      <c r="O23" s="428"/>
      <c r="P23" s="428"/>
      <c r="Q23" s="428"/>
      <c r="R23" s="428"/>
      <c r="S23" s="491"/>
      <c r="T23" s="491"/>
      <c r="U23" s="491"/>
      <c r="V23" s="491"/>
      <c r="W23" s="491"/>
      <c r="X23" s="491"/>
      <c r="Y23" s="491"/>
      <c r="Z23" s="428"/>
      <c r="AA23" s="428"/>
      <c r="AB23" s="428"/>
      <c r="AC23" s="428"/>
      <c r="AD23" s="428"/>
      <c r="AE23" s="428"/>
      <c r="AF23" s="428"/>
      <c r="AG23" s="428"/>
      <c r="AH23" s="428"/>
      <c r="AI23" s="491"/>
      <c r="AJ23" s="491"/>
      <c r="AK23" s="491"/>
      <c r="AL23" s="469"/>
      <c r="AM23" s="478"/>
      <c r="AN23" s="477"/>
      <c r="AQ23" s="555">
        <v>16</v>
      </c>
    </row>
    <row r="24" spans="1:43" ht="15">
      <c r="A24" s="484" t="s">
        <v>134</v>
      </c>
      <c r="B24" s="540"/>
      <c r="C24" s="251" t="s">
        <v>133</v>
      </c>
      <c r="D24" s="433"/>
      <c r="E24" s="477"/>
      <c r="F24" s="478"/>
      <c r="G24" s="560" t="s">
        <v>22</v>
      </c>
      <c r="H24" s="539"/>
      <c r="I24" s="546">
        <f aca="true" t="shared" si="10" ref="I24:AL24">I16+I22</f>
        <v>13825672.5</v>
      </c>
      <c r="J24" s="533">
        <f t="shared" si="10"/>
        <v>14158557.561059996</v>
      </c>
      <c r="K24" s="533">
        <f t="shared" si="10"/>
        <v>14499505.916386731</v>
      </c>
      <c r="L24" s="533">
        <f t="shared" si="10"/>
        <v>14848714.093440063</v>
      </c>
      <c r="M24" s="533">
        <f t="shared" si="10"/>
        <v>15206383.43993492</v>
      </c>
      <c r="N24" s="533">
        <f t="shared" si="10"/>
        <v>15572720.242816111</v>
      </c>
      <c r="O24" s="533">
        <f t="shared" si="10"/>
        <v>15936282.984914515</v>
      </c>
      <c r="P24" s="533">
        <f t="shared" si="10"/>
        <v>16308345.429517422</v>
      </c>
      <c r="Q24" s="533">
        <f t="shared" si="10"/>
        <v>16689106.59056924</v>
      </c>
      <c r="R24" s="533">
        <f t="shared" si="10"/>
        <v>17078770.149317592</v>
      </c>
      <c r="S24" s="507">
        <f t="shared" si="10"/>
        <v>17477544.563961025</v>
      </c>
      <c r="T24" s="533">
        <f t="shared" si="10"/>
        <v>17885643.181877416</v>
      </c>
      <c r="U24" s="533">
        <f t="shared" si="10"/>
        <v>18303284.35449383</v>
      </c>
      <c r="V24" s="533">
        <f t="shared" si="10"/>
        <v>18730691.554860286</v>
      </c>
      <c r="W24" s="533">
        <f t="shared" si="10"/>
        <v>19168093.49799107</v>
      </c>
      <c r="X24" s="533">
        <f t="shared" si="10"/>
        <v>19615724.264038913</v>
      </c>
      <c r="Y24" s="533">
        <f t="shared" si="10"/>
        <v>20073823.424368903</v>
      </c>
      <c r="Z24" s="533">
        <f t="shared" si="10"/>
        <v>20542636.170600425</v>
      </c>
      <c r="AA24" s="533">
        <f t="shared" si="10"/>
        <v>21022413.446687214</v>
      </c>
      <c r="AB24" s="533">
        <f t="shared" si="10"/>
        <v>21513412.084107187</v>
      </c>
      <c r="AC24" s="533">
        <f t="shared" si="10"/>
        <v>0</v>
      </c>
      <c r="AD24" s="533">
        <f t="shared" si="10"/>
        <v>0</v>
      </c>
      <c r="AE24" s="533">
        <f t="shared" si="10"/>
        <v>0</v>
      </c>
      <c r="AF24" s="533">
        <f t="shared" si="10"/>
        <v>0</v>
      </c>
      <c r="AG24" s="533">
        <f t="shared" si="10"/>
        <v>0</v>
      </c>
      <c r="AH24" s="533">
        <f t="shared" si="10"/>
        <v>0</v>
      </c>
      <c r="AI24" s="507">
        <f t="shared" si="10"/>
        <v>0</v>
      </c>
      <c r="AJ24" s="533">
        <f t="shared" si="10"/>
        <v>0</v>
      </c>
      <c r="AK24" s="533">
        <f t="shared" si="10"/>
        <v>0</v>
      </c>
      <c r="AL24" s="515">
        <f t="shared" si="10"/>
        <v>0</v>
      </c>
      <c r="AM24" s="478"/>
      <c r="AN24" s="477"/>
      <c r="AQ24" s="555">
        <v>17</v>
      </c>
    </row>
    <row r="25" spans="1:43" ht="15">
      <c r="A25" s="505" t="s">
        <v>8</v>
      </c>
      <c r="B25" s="518"/>
      <c r="C25" s="493"/>
      <c r="D25" s="433"/>
      <c r="E25" s="477"/>
      <c r="F25" s="478"/>
      <c r="G25" s="560" t="s">
        <v>23</v>
      </c>
      <c r="H25" s="539"/>
      <c r="I25" s="544">
        <f>I49</f>
        <v>-10068750</v>
      </c>
      <c r="J25" s="427">
        <f aca="true" t="shared" si="11" ref="J25:AL25">J49</f>
        <v>-9775959.668113181</v>
      </c>
      <c r="K25" s="427">
        <f t="shared" si="11"/>
        <v>-9467446.495404042</v>
      </c>
      <c r="L25" s="427">
        <f t="shared" si="11"/>
        <v>-9142366.165320424</v>
      </c>
      <c r="M25" s="427">
        <f t="shared" si="11"/>
        <v>-8799829.021511313</v>
      </c>
      <c r="N25" s="427">
        <f t="shared" si="11"/>
        <v>-8438897.633079654</v>
      </c>
      <c r="O25" s="427">
        <f t="shared" si="11"/>
        <v>-8058584.229089214</v>
      </c>
      <c r="P25" s="427">
        <f t="shared" si="11"/>
        <v>-7657847.995304488</v>
      </c>
      <c r="Q25" s="427">
        <f t="shared" si="11"/>
        <v>-7235592.225765522</v>
      </c>
      <c r="R25" s="427">
        <f t="shared" si="11"/>
        <v>-6790661.321402313</v>
      </c>
      <c r="S25" s="490">
        <f t="shared" si="11"/>
        <v>-6321837.627474801</v>
      </c>
      <c r="T25" s="427">
        <f t="shared" si="11"/>
        <v>-5827838.10118338</v>
      </c>
      <c r="U25" s="427">
        <f t="shared" si="11"/>
        <v>-5307310.800330111</v>
      </c>
      <c r="V25" s="427">
        <f t="shared" si="11"/>
        <v>-4758831.18342102</v>
      </c>
      <c r="W25" s="427">
        <f t="shared" si="11"/>
        <v>-4180898.2110839123</v>
      </c>
      <c r="X25" s="427">
        <f t="shared" si="11"/>
        <v>-3571930.2381323017</v>
      </c>
      <c r="Y25" s="427">
        <f t="shared" si="11"/>
        <v>-2930260.685033189</v>
      </c>
      <c r="Z25" s="427">
        <f t="shared" si="11"/>
        <v>-2254133.4769326546</v>
      </c>
      <c r="AA25" s="427">
        <f t="shared" si="11"/>
        <v>-1541698.237757121</v>
      </c>
      <c r="AB25" s="427">
        <f t="shared" si="11"/>
        <v>-791005.2262378613</v>
      </c>
      <c r="AC25" s="427">
        <f t="shared" si="11"/>
        <v>0</v>
      </c>
      <c r="AD25" s="427">
        <f t="shared" si="11"/>
        <v>0</v>
      </c>
      <c r="AE25" s="427">
        <f t="shared" si="11"/>
        <v>0</v>
      </c>
      <c r="AF25" s="427">
        <f t="shared" si="11"/>
        <v>0</v>
      </c>
      <c r="AG25" s="427">
        <f t="shared" si="11"/>
        <v>0</v>
      </c>
      <c r="AH25" s="427">
        <f t="shared" si="11"/>
        <v>0</v>
      </c>
      <c r="AI25" s="490">
        <f t="shared" si="11"/>
        <v>0</v>
      </c>
      <c r="AJ25" s="427">
        <f t="shared" si="11"/>
        <v>0</v>
      </c>
      <c r="AK25" s="427">
        <f t="shared" si="11"/>
        <v>0</v>
      </c>
      <c r="AL25" s="504">
        <f t="shared" si="11"/>
        <v>0</v>
      </c>
      <c r="AM25" s="478"/>
      <c r="AN25" s="477"/>
      <c r="AQ25" s="555">
        <v>18</v>
      </c>
    </row>
    <row r="26" spans="1:43" ht="15">
      <c r="A26" s="484" t="s">
        <v>9</v>
      </c>
      <c r="B26" s="488"/>
      <c r="C26" s="575">
        <v>0.5</v>
      </c>
      <c r="D26" s="434"/>
      <c r="E26" s="477"/>
      <c r="F26" s="478"/>
      <c r="G26" s="561" t="s">
        <v>24</v>
      </c>
      <c r="H26" s="538"/>
      <c r="I26" s="544">
        <f>I44</f>
        <v>-75000000</v>
      </c>
      <c r="J26" s="427">
        <f>J44</f>
        <v>-120000000</v>
      </c>
      <c r="K26" s="427">
        <f aca="true" t="shared" si="12" ref="K26:AL26">K44</f>
        <v>-72000000</v>
      </c>
      <c r="L26" s="427">
        <f t="shared" si="12"/>
        <v>-43200000</v>
      </c>
      <c r="M26" s="427">
        <f t="shared" si="12"/>
        <v>-43200000</v>
      </c>
      <c r="N26" s="427">
        <f t="shared" si="12"/>
        <v>-21600000</v>
      </c>
      <c r="O26" s="427">
        <f t="shared" si="12"/>
        <v>0</v>
      </c>
      <c r="P26" s="427">
        <f t="shared" si="12"/>
        <v>0</v>
      </c>
      <c r="Q26" s="427">
        <f t="shared" si="12"/>
        <v>0</v>
      </c>
      <c r="R26" s="427">
        <f t="shared" si="12"/>
        <v>0</v>
      </c>
      <c r="S26" s="490">
        <f t="shared" si="12"/>
        <v>0</v>
      </c>
      <c r="T26" s="427">
        <f t="shared" si="12"/>
        <v>0</v>
      </c>
      <c r="U26" s="427">
        <f t="shared" si="12"/>
        <v>0</v>
      </c>
      <c r="V26" s="427">
        <f t="shared" si="12"/>
        <v>0</v>
      </c>
      <c r="W26" s="427">
        <f t="shared" si="12"/>
        <v>0</v>
      </c>
      <c r="X26" s="427">
        <f t="shared" si="12"/>
        <v>0</v>
      </c>
      <c r="Y26" s="427">
        <f t="shared" si="12"/>
        <v>0</v>
      </c>
      <c r="Z26" s="427">
        <f t="shared" si="12"/>
        <v>0</v>
      </c>
      <c r="AA26" s="427">
        <f t="shared" si="12"/>
        <v>0</v>
      </c>
      <c r="AB26" s="427">
        <f t="shared" si="12"/>
        <v>0</v>
      </c>
      <c r="AC26" s="427">
        <f t="shared" si="12"/>
        <v>0</v>
      </c>
      <c r="AD26" s="427">
        <f t="shared" si="12"/>
        <v>0</v>
      </c>
      <c r="AE26" s="427">
        <f t="shared" si="12"/>
        <v>0</v>
      </c>
      <c r="AF26" s="427">
        <f t="shared" si="12"/>
        <v>0</v>
      </c>
      <c r="AG26" s="427">
        <f t="shared" si="12"/>
        <v>0</v>
      </c>
      <c r="AH26" s="427">
        <f t="shared" si="12"/>
        <v>0</v>
      </c>
      <c r="AI26" s="490">
        <f t="shared" si="12"/>
        <v>0</v>
      </c>
      <c r="AJ26" s="427">
        <f t="shared" si="12"/>
        <v>0</v>
      </c>
      <c r="AK26" s="427">
        <f t="shared" si="12"/>
        <v>0</v>
      </c>
      <c r="AL26" s="504">
        <f t="shared" si="12"/>
        <v>0</v>
      </c>
      <c r="AM26" s="478"/>
      <c r="AN26" s="477"/>
      <c r="AQ26" s="555">
        <v>19</v>
      </c>
    </row>
    <row r="27" spans="1:43" ht="15.75" thickBot="1">
      <c r="A27" s="480" t="s">
        <v>10</v>
      </c>
      <c r="B27" s="541"/>
      <c r="C27" s="476">
        <f>1-C26</f>
        <v>0.5</v>
      </c>
      <c r="E27" s="477"/>
      <c r="F27" s="478"/>
      <c r="G27" s="453" t="s">
        <v>25</v>
      </c>
      <c r="H27" s="537"/>
      <c r="I27" s="443">
        <f>SUM(I24:I26)</f>
        <v>-71243077.5</v>
      </c>
      <c r="J27" s="444">
        <f aca="true" t="shared" si="13" ref="J27:R27">SUM(J24:J26)</f>
        <v>-115617402.10705319</v>
      </c>
      <c r="K27" s="444">
        <f t="shared" si="13"/>
        <v>-66967940.57901731</v>
      </c>
      <c r="L27" s="444">
        <f t="shared" si="13"/>
        <v>-37493652.07188036</v>
      </c>
      <c r="M27" s="444">
        <f t="shared" si="13"/>
        <v>-36793445.58157639</v>
      </c>
      <c r="N27" s="444">
        <f t="shared" si="13"/>
        <v>-14466177.390263543</v>
      </c>
      <c r="O27" s="444">
        <f t="shared" si="13"/>
        <v>7877698.755825302</v>
      </c>
      <c r="P27" s="444">
        <f t="shared" si="13"/>
        <v>8650497.434212934</v>
      </c>
      <c r="Q27" s="444">
        <f t="shared" si="13"/>
        <v>9453514.364803717</v>
      </c>
      <c r="R27" s="444">
        <f t="shared" si="13"/>
        <v>10288108.82791528</v>
      </c>
      <c r="S27" s="498">
        <f>SUM(S24:S26)</f>
        <v>11155706.936486226</v>
      </c>
      <c r="T27" s="444">
        <f>SUM(T24:T26)</f>
        <v>12057805.080694035</v>
      </c>
      <c r="U27" s="444">
        <f>SUM(U24:U26)</f>
        <v>12995973.55416372</v>
      </c>
      <c r="V27" s="444">
        <f>SUM(V24:V26)</f>
        <v>13971860.371439267</v>
      </c>
      <c r="W27" s="444">
        <f>SUM(W24:W26)</f>
        <v>14987195.286907159</v>
      </c>
      <c r="X27" s="444">
        <f>SUM(X24:X26)</f>
        <v>16043794.025906611</v>
      </c>
      <c r="Y27" s="444">
        <f>SUM(Y24:Y26)</f>
        <v>17143562.739335716</v>
      </c>
      <c r="Z27" s="444">
        <f aca="true" t="shared" si="14" ref="Z27:AH27">SUM(Z24:Z26)</f>
        <v>18288502.69366777</v>
      </c>
      <c r="AA27" s="444">
        <f t="shared" si="14"/>
        <v>19480715.208930094</v>
      </c>
      <c r="AB27" s="444">
        <f t="shared" si="14"/>
        <v>20722406.857869327</v>
      </c>
      <c r="AC27" s="444">
        <f t="shared" si="14"/>
        <v>0</v>
      </c>
      <c r="AD27" s="444">
        <f t="shared" si="14"/>
        <v>0</v>
      </c>
      <c r="AE27" s="444">
        <f t="shared" si="14"/>
        <v>0</v>
      </c>
      <c r="AF27" s="444">
        <f t="shared" si="14"/>
        <v>0</v>
      </c>
      <c r="AG27" s="444">
        <f t="shared" si="14"/>
        <v>0</v>
      </c>
      <c r="AH27" s="444">
        <f t="shared" si="14"/>
        <v>0</v>
      </c>
      <c r="AI27" s="498">
        <f>SUM(AI24:AI26)</f>
        <v>0</v>
      </c>
      <c r="AJ27" s="444">
        <f>SUM(AJ24:AJ26)</f>
        <v>0</v>
      </c>
      <c r="AK27" s="444">
        <f>SUM(AK24:AK26)</f>
        <v>0</v>
      </c>
      <c r="AL27" s="512">
        <f>SUM(AL24:AL26)</f>
        <v>0</v>
      </c>
      <c r="AM27" s="478"/>
      <c r="AN27" s="477"/>
      <c r="AQ27" s="555">
        <v>20</v>
      </c>
    </row>
    <row r="28" spans="1:43" ht="15.75" thickTop="1">
      <c r="A28" s="484" t="s">
        <v>11</v>
      </c>
      <c r="B28" s="488"/>
      <c r="C28" s="603">
        <v>0.0537</v>
      </c>
      <c r="D28" s="542"/>
      <c r="E28" s="477"/>
      <c r="F28" s="478"/>
      <c r="G28" s="456"/>
      <c r="H28" s="428"/>
      <c r="I28" s="543"/>
      <c r="J28" s="428"/>
      <c r="K28" s="428"/>
      <c r="L28" s="428"/>
      <c r="M28" s="428"/>
      <c r="N28" s="428"/>
      <c r="O28" s="428"/>
      <c r="P28" s="428"/>
      <c r="Q28" s="428"/>
      <c r="R28" s="428"/>
      <c r="S28" s="491"/>
      <c r="T28" s="428"/>
      <c r="U28" s="428"/>
      <c r="V28" s="428"/>
      <c r="W28" s="491"/>
      <c r="X28" s="491"/>
      <c r="Y28" s="491"/>
      <c r="Z28" s="428"/>
      <c r="AA28" s="428"/>
      <c r="AB28" s="428"/>
      <c r="AC28" s="428"/>
      <c r="AD28" s="428"/>
      <c r="AE28" s="428"/>
      <c r="AF28" s="428"/>
      <c r="AG28" s="428"/>
      <c r="AH28" s="428"/>
      <c r="AI28" s="491"/>
      <c r="AJ28" s="428"/>
      <c r="AK28" s="428"/>
      <c r="AL28" s="471"/>
      <c r="AM28" s="478"/>
      <c r="AN28" s="477"/>
      <c r="AQ28" s="555">
        <v>21</v>
      </c>
    </row>
    <row r="29" spans="1:43" ht="15">
      <c r="A29" s="484" t="s">
        <v>12</v>
      </c>
      <c r="B29" s="488"/>
      <c r="C29" s="603">
        <v>0.0893</v>
      </c>
      <c r="D29" s="542"/>
      <c r="E29" s="477"/>
      <c r="F29" s="478"/>
      <c r="G29" s="562" t="s">
        <v>140</v>
      </c>
      <c r="H29" s="428"/>
      <c r="I29" s="544">
        <f>IF($C$24="NO",0,C8*30%)</f>
        <v>112500000</v>
      </c>
      <c r="J29" s="544">
        <v>0</v>
      </c>
      <c r="K29" s="544">
        <v>0</v>
      </c>
      <c r="L29" s="544">
        <v>0</v>
      </c>
      <c r="M29" s="544">
        <v>0</v>
      </c>
      <c r="N29" s="544">
        <v>0</v>
      </c>
      <c r="O29" s="544">
        <v>0</v>
      </c>
      <c r="P29" s="544">
        <v>0</v>
      </c>
      <c r="Q29" s="544">
        <v>0</v>
      </c>
      <c r="R29" s="544">
        <v>0</v>
      </c>
      <c r="S29" s="544">
        <v>0</v>
      </c>
      <c r="T29" s="544">
        <v>0</v>
      </c>
      <c r="U29" s="544">
        <v>0</v>
      </c>
      <c r="V29" s="544">
        <v>0</v>
      </c>
      <c r="W29" s="544">
        <v>0</v>
      </c>
      <c r="X29" s="544">
        <v>0</v>
      </c>
      <c r="Y29" s="544">
        <v>0</v>
      </c>
      <c r="Z29" s="544">
        <v>0</v>
      </c>
      <c r="AA29" s="544">
        <v>0</v>
      </c>
      <c r="AB29" s="544">
        <v>0</v>
      </c>
      <c r="AC29" s="544">
        <v>0</v>
      </c>
      <c r="AD29" s="544">
        <v>0</v>
      </c>
      <c r="AE29" s="544">
        <v>0</v>
      </c>
      <c r="AF29" s="544">
        <v>0</v>
      </c>
      <c r="AG29" s="544">
        <v>0</v>
      </c>
      <c r="AH29" s="544">
        <v>0</v>
      </c>
      <c r="AI29" s="544">
        <v>0</v>
      </c>
      <c r="AJ29" s="544">
        <v>0</v>
      </c>
      <c r="AK29" s="544">
        <v>0</v>
      </c>
      <c r="AL29" s="475">
        <v>0</v>
      </c>
      <c r="AM29" s="478"/>
      <c r="AN29" s="477"/>
      <c r="AQ29" s="555">
        <v>22</v>
      </c>
    </row>
    <row r="30" spans="1:43" ht="15">
      <c r="A30" s="480" t="s">
        <v>13</v>
      </c>
      <c r="B30" s="488"/>
      <c r="C30" s="576">
        <v>0.023</v>
      </c>
      <c r="D30" s="542"/>
      <c r="E30" s="477"/>
      <c r="F30" s="478"/>
      <c r="G30" s="562" t="s">
        <v>26</v>
      </c>
      <c r="H30" s="535"/>
      <c r="I30" s="547">
        <f>-MAX(MAX(I27*$C$31,0),0)</f>
        <v>0</v>
      </c>
      <c r="J30" s="547">
        <f aca="true" t="shared" si="15" ref="J30:AL30">-MAX(MAX(J27*$C$31,0),0)</f>
        <v>0</v>
      </c>
      <c r="K30" s="547">
        <f t="shared" si="15"/>
        <v>0</v>
      </c>
      <c r="L30" s="547">
        <f t="shared" si="15"/>
        <v>0</v>
      </c>
      <c r="M30" s="547">
        <f t="shared" si="15"/>
        <v>0</v>
      </c>
      <c r="N30" s="547">
        <f t="shared" si="15"/>
        <v>0</v>
      </c>
      <c r="O30" s="547">
        <f t="shared" si="15"/>
        <v>-3121144.2470579846</v>
      </c>
      <c r="P30" s="547">
        <f t="shared" si="15"/>
        <v>-3427327.0834351643</v>
      </c>
      <c r="Q30" s="547">
        <f t="shared" si="15"/>
        <v>-3745482.3913352326</v>
      </c>
      <c r="R30" s="547">
        <f t="shared" si="15"/>
        <v>-4076148.717620034</v>
      </c>
      <c r="S30" s="547">
        <f t="shared" si="15"/>
        <v>-4419891.088235843</v>
      </c>
      <c r="T30" s="547">
        <f t="shared" si="15"/>
        <v>-4777302.372970977</v>
      </c>
      <c r="U30" s="547">
        <f t="shared" si="15"/>
        <v>-5149004.722159666</v>
      </c>
      <c r="V30" s="547">
        <f t="shared" si="15"/>
        <v>-5535651.079164238</v>
      </c>
      <c r="W30" s="547">
        <f t="shared" si="15"/>
        <v>-5937926.772672616</v>
      </c>
      <c r="X30" s="547">
        <f t="shared" si="15"/>
        <v>-6356551.1930642</v>
      </c>
      <c r="Y30" s="547">
        <f t="shared" si="15"/>
        <v>-6792279.557324811</v>
      </c>
      <c r="Z30" s="547">
        <f t="shared" si="15"/>
        <v>-7245904.76723117</v>
      </c>
      <c r="AA30" s="547">
        <f t="shared" si="15"/>
        <v>-7718259.3657781035</v>
      </c>
      <c r="AB30" s="547">
        <f t="shared" si="15"/>
        <v>-8210217.5970878275</v>
      </c>
      <c r="AC30" s="547">
        <f t="shared" si="15"/>
        <v>0</v>
      </c>
      <c r="AD30" s="547">
        <f t="shared" si="15"/>
        <v>0</v>
      </c>
      <c r="AE30" s="547">
        <f t="shared" si="15"/>
        <v>0</v>
      </c>
      <c r="AF30" s="547">
        <f t="shared" si="15"/>
        <v>0</v>
      </c>
      <c r="AG30" s="547">
        <f t="shared" si="15"/>
        <v>0</v>
      </c>
      <c r="AH30" s="547">
        <f t="shared" si="15"/>
        <v>0</v>
      </c>
      <c r="AI30" s="547">
        <f t="shared" si="15"/>
        <v>0</v>
      </c>
      <c r="AJ30" s="547">
        <f t="shared" si="15"/>
        <v>0</v>
      </c>
      <c r="AK30" s="547">
        <f t="shared" si="15"/>
        <v>0</v>
      </c>
      <c r="AL30" s="587">
        <f t="shared" si="15"/>
        <v>0</v>
      </c>
      <c r="AM30" s="478"/>
      <c r="AN30" s="477"/>
      <c r="AQ30" s="555">
        <v>23</v>
      </c>
    </row>
    <row r="31" spans="1:43" ht="15">
      <c r="A31" s="484" t="s">
        <v>14</v>
      </c>
      <c r="B31" s="488"/>
      <c r="C31" s="603">
        <v>0.3962</v>
      </c>
      <c r="D31" s="436"/>
      <c r="E31" s="477"/>
      <c r="F31" s="478"/>
      <c r="G31" s="456" t="s">
        <v>27</v>
      </c>
      <c r="H31" s="428"/>
      <c r="I31" s="544">
        <f>I50</f>
        <v>-5452333.927128809</v>
      </c>
      <c r="J31" s="427">
        <f aca="true" t="shared" si="16" ref="J31:X31">J50</f>
        <v>-5745124.259015627</v>
      </c>
      <c r="K31" s="427">
        <f t="shared" si="16"/>
        <v>-6053637.431724766</v>
      </c>
      <c r="L31" s="427">
        <f t="shared" si="16"/>
        <v>-6378717.761808384</v>
      </c>
      <c r="M31" s="427">
        <f t="shared" si="16"/>
        <v>-6721254.905617496</v>
      </c>
      <c r="N31" s="427">
        <f t="shared" si="16"/>
        <v>-7082186.294049155</v>
      </c>
      <c r="O31" s="427">
        <f t="shared" si="16"/>
        <v>-7462499.698039595</v>
      </c>
      <c r="P31" s="427">
        <f t="shared" si="16"/>
        <v>-7863235.931824321</v>
      </c>
      <c r="Q31" s="427">
        <f t="shared" si="16"/>
        <v>-8285491.701363287</v>
      </c>
      <c r="R31" s="427">
        <f t="shared" si="16"/>
        <v>-8730422.605726495</v>
      </c>
      <c r="S31" s="490">
        <f t="shared" si="16"/>
        <v>-9199246.299654007</v>
      </c>
      <c r="T31" s="427">
        <f t="shared" si="16"/>
        <v>-9693245.82594543</v>
      </c>
      <c r="U31" s="427">
        <f t="shared" si="16"/>
        <v>-10213773.126798697</v>
      </c>
      <c r="V31" s="427">
        <f t="shared" si="16"/>
        <v>-10762252.743707787</v>
      </c>
      <c r="W31" s="490">
        <f t="shared" si="16"/>
        <v>-11340185.716044895</v>
      </c>
      <c r="X31" s="490">
        <f t="shared" si="16"/>
        <v>-11949153.688996507</v>
      </c>
      <c r="Y31" s="490">
        <f>Y50</f>
        <v>-12590823.24209562</v>
      </c>
      <c r="Z31" s="427">
        <f aca="true" t="shared" si="17" ref="Z31:AL31">Z50</f>
        <v>-13266950.450196154</v>
      </c>
      <c r="AA31" s="427">
        <f t="shared" si="17"/>
        <v>-13979385.689371688</v>
      </c>
      <c r="AB31" s="427">
        <f t="shared" si="17"/>
        <v>-14730078.700890947</v>
      </c>
      <c r="AC31" s="427">
        <f t="shared" si="17"/>
        <v>0</v>
      </c>
      <c r="AD31" s="427">
        <f t="shared" si="17"/>
        <v>0</v>
      </c>
      <c r="AE31" s="427">
        <f t="shared" si="17"/>
        <v>0</v>
      </c>
      <c r="AF31" s="427">
        <f t="shared" si="17"/>
        <v>0</v>
      </c>
      <c r="AG31" s="427">
        <f t="shared" si="17"/>
        <v>0</v>
      </c>
      <c r="AH31" s="427">
        <f t="shared" si="17"/>
        <v>0</v>
      </c>
      <c r="AI31" s="490">
        <f t="shared" si="17"/>
        <v>0</v>
      </c>
      <c r="AJ31" s="427">
        <f t="shared" si="17"/>
        <v>0</v>
      </c>
      <c r="AK31" s="427">
        <f t="shared" si="17"/>
        <v>0</v>
      </c>
      <c r="AL31" s="504">
        <f t="shared" si="17"/>
        <v>0</v>
      </c>
      <c r="AM31" s="478"/>
      <c r="AN31" s="477"/>
      <c r="AQ31" s="555">
        <v>24</v>
      </c>
    </row>
    <row r="32" spans="1:43" ht="15.75" thickBot="1">
      <c r="A32" s="480" t="s">
        <v>75</v>
      </c>
      <c r="B32" s="488"/>
      <c r="C32" s="472">
        <v>20</v>
      </c>
      <c r="D32" s="436"/>
      <c r="E32" s="477"/>
      <c r="F32" s="478"/>
      <c r="G32" s="457" t="s">
        <v>40</v>
      </c>
      <c r="H32" s="548"/>
      <c r="I32" s="439">
        <f>I24+I25+I30+I31+I29</f>
        <v>110804588.5728712</v>
      </c>
      <c r="J32" s="440">
        <f aca="true" t="shared" si="18" ref="J32:AL32">J24+J25+J30+J31+J29</f>
        <v>-1362526.366068812</v>
      </c>
      <c r="K32" s="440">
        <f t="shared" si="18"/>
        <v>-1021578.0107420776</v>
      </c>
      <c r="L32" s="440">
        <f t="shared" si="18"/>
        <v>-672369.8336887453</v>
      </c>
      <c r="M32" s="440">
        <f t="shared" si="18"/>
        <v>-314700.48719388805</v>
      </c>
      <c r="N32" s="440">
        <f t="shared" si="18"/>
        <v>51636.3156873025</v>
      </c>
      <c r="O32" s="440">
        <f t="shared" si="18"/>
        <v>-2705945.189272278</v>
      </c>
      <c r="P32" s="440">
        <f t="shared" si="18"/>
        <v>-2640065.5810465515</v>
      </c>
      <c r="Q32" s="440">
        <f t="shared" si="18"/>
        <v>-2577459.7278948026</v>
      </c>
      <c r="R32" s="440">
        <f t="shared" si="18"/>
        <v>-2518462.49543125</v>
      </c>
      <c r="S32" s="514">
        <f t="shared" si="18"/>
        <v>-2463430.4514036244</v>
      </c>
      <c r="T32" s="440">
        <f t="shared" si="18"/>
        <v>-2412743.1182223717</v>
      </c>
      <c r="U32" s="440">
        <f t="shared" si="18"/>
        <v>-2366804.2947946424</v>
      </c>
      <c r="V32" s="440">
        <f t="shared" si="18"/>
        <v>-2326043.451432757</v>
      </c>
      <c r="W32" s="514">
        <f t="shared" si="18"/>
        <v>-2290917.2018103525</v>
      </c>
      <c r="X32" s="514">
        <f t="shared" si="18"/>
        <v>-2261910.8561540954</v>
      </c>
      <c r="Y32" s="514">
        <f t="shared" si="18"/>
        <v>-2239540.0600847155</v>
      </c>
      <c r="Z32" s="440">
        <f t="shared" si="18"/>
        <v>-2224352.523759555</v>
      </c>
      <c r="AA32" s="440">
        <f t="shared" si="18"/>
        <v>-2216929.846219698</v>
      </c>
      <c r="AB32" s="440">
        <f t="shared" si="18"/>
        <v>-2217889.4401094466</v>
      </c>
      <c r="AC32" s="440">
        <f t="shared" si="18"/>
        <v>0</v>
      </c>
      <c r="AD32" s="440">
        <f t="shared" si="18"/>
        <v>0</v>
      </c>
      <c r="AE32" s="440">
        <f t="shared" si="18"/>
        <v>0</v>
      </c>
      <c r="AF32" s="440">
        <f t="shared" si="18"/>
        <v>0</v>
      </c>
      <c r="AG32" s="440">
        <f t="shared" si="18"/>
        <v>0</v>
      </c>
      <c r="AH32" s="440">
        <f t="shared" si="18"/>
        <v>0</v>
      </c>
      <c r="AI32" s="514">
        <f t="shared" si="18"/>
        <v>0</v>
      </c>
      <c r="AJ32" s="440">
        <f t="shared" si="18"/>
        <v>0</v>
      </c>
      <c r="AK32" s="440">
        <f t="shared" si="18"/>
        <v>0</v>
      </c>
      <c r="AL32" s="495">
        <f t="shared" si="18"/>
        <v>0</v>
      </c>
      <c r="AM32" s="478"/>
      <c r="AN32" s="477"/>
      <c r="AQ32" s="555">
        <v>25</v>
      </c>
    </row>
    <row r="33" spans="1:43" ht="15.75" thickTop="1">
      <c r="A33" s="484" t="s">
        <v>44</v>
      </c>
      <c r="B33" s="430"/>
      <c r="C33" s="510" t="s">
        <v>45</v>
      </c>
      <c r="D33" s="436"/>
      <c r="E33" s="477"/>
      <c r="F33" s="478"/>
      <c r="G33" s="563"/>
      <c r="H33" s="549"/>
      <c r="I33" s="546"/>
      <c r="J33" s="533"/>
      <c r="K33" s="533"/>
      <c r="L33" s="533"/>
      <c r="M33" s="533"/>
      <c r="N33" s="533"/>
      <c r="O33" s="533"/>
      <c r="P33" s="533"/>
      <c r="Q33" s="533"/>
      <c r="R33" s="533"/>
      <c r="S33" s="507"/>
      <c r="T33" s="533"/>
      <c r="U33" s="533"/>
      <c r="V33" s="533"/>
      <c r="W33" s="507"/>
      <c r="X33" s="507"/>
      <c r="Y33" s="507"/>
      <c r="Z33" s="533"/>
      <c r="AA33" s="533"/>
      <c r="AB33" s="533"/>
      <c r="AC33" s="533"/>
      <c r="AD33" s="533"/>
      <c r="AE33" s="533"/>
      <c r="AF33" s="533"/>
      <c r="AG33" s="533"/>
      <c r="AH33" s="533"/>
      <c r="AI33" s="507"/>
      <c r="AJ33" s="533"/>
      <c r="AK33" s="533"/>
      <c r="AL33" s="515"/>
      <c r="AM33" s="478"/>
      <c r="AN33" s="477"/>
      <c r="AQ33" s="555">
        <v>26</v>
      </c>
    </row>
    <row r="34" spans="1:43" ht="15">
      <c r="A34" s="480" t="s">
        <v>15</v>
      </c>
      <c r="B34" s="488"/>
      <c r="C34" s="472">
        <v>5</v>
      </c>
      <c r="D34" s="436"/>
      <c r="E34" s="477"/>
      <c r="F34" s="478"/>
      <c r="G34" s="456" t="s">
        <v>28</v>
      </c>
      <c r="H34" s="558"/>
      <c r="I34" s="532">
        <f aca="true" t="shared" si="19" ref="I34:AL34">IF($C$21&lt;&gt;0,MAX((($C$21+1-I8)/$C$21),0),0)*($C$9*$C$10/100)*(IF(I8&gt;$C$32,0,$C$20))</f>
        <v>20456092.045000017</v>
      </c>
      <c r="J34" s="532">
        <f t="shared" si="19"/>
        <v>16364873.636000015</v>
      </c>
      <c r="K34" s="532">
        <f t="shared" si="19"/>
        <v>12273655.22700001</v>
      </c>
      <c r="L34" s="532">
        <f t="shared" si="19"/>
        <v>8182436.818000007</v>
      </c>
      <c r="M34" s="532">
        <f t="shared" si="19"/>
        <v>4091218.4090000037</v>
      </c>
      <c r="N34" s="532">
        <f t="shared" si="19"/>
        <v>0</v>
      </c>
      <c r="O34" s="532">
        <f t="shared" si="19"/>
        <v>0</v>
      </c>
      <c r="P34" s="532">
        <f t="shared" si="19"/>
        <v>0</v>
      </c>
      <c r="Q34" s="532">
        <f t="shared" si="19"/>
        <v>0</v>
      </c>
      <c r="R34" s="532">
        <f t="shared" si="19"/>
        <v>0</v>
      </c>
      <c r="S34" s="532">
        <f t="shared" si="19"/>
        <v>0</v>
      </c>
      <c r="T34" s="532">
        <f t="shared" si="19"/>
        <v>0</v>
      </c>
      <c r="U34" s="532">
        <f t="shared" si="19"/>
        <v>0</v>
      </c>
      <c r="V34" s="532">
        <f t="shared" si="19"/>
        <v>0</v>
      </c>
      <c r="W34" s="532">
        <f t="shared" si="19"/>
        <v>0</v>
      </c>
      <c r="X34" s="532">
        <f t="shared" si="19"/>
        <v>0</v>
      </c>
      <c r="Y34" s="532">
        <f t="shared" si="19"/>
        <v>0</v>
      </c>
      <c r="Z34" s="532">
        <f t="shared" si="19"/>
        <v>0</v>
      </c>
      <c r="AA34" s="532">
        <f t="shared" si="19"/>
        <v>0</v>
      </c>
      <c r="AB34" s="532">
        <f t="shared" si="19"/>
        <v>0</v>
      </c>
      <c r="AC34" s="532">
        <f t="shared" si="19"/>
        <v>0</v>
      </c>
      <c r="AD34" s="532">
        <f t="shared" si="19"/>
        <v>0</v>
      </c>
      <c r="AE34" s="532">
        <f t="shared" si="19"/>
        <v>0</v>
      </c>
      <c r="AF34" s="532">
        <f t="shared" si="19"/>
        <v>0</v>
      </c>
      <c r="AG34" s="532">
        <f t="shared" si="19"/>
        <v>0</v>
      </c>
      <c r="AH34" s="532">
        <f t="shared" si="19"/>
        <v>0</v>
      </c>
      <c r="AI34" s="532">
        <f t="shared" si="19"/>
        <v>0</v>
      </c>
      <c r="AJ34" s="532">
        <f t="shared" si="19"/>
        <v>0</v>
      </c>
      <c r="AK34" s="532">
        <f t="shared" si="19"/>
        <v>0</v>
      </c>
      <c r="AL34" s="550">
        <f t="shared" si="19"/>
        <v>0</v>
      </c>
      <c r="AM34" s="478"/>
      <c r="AN34" s="477"/>
      <c r="AQ34" s="555">
        <v>27</v>
      </c>
    </row>
    <row r="35" spans="1:43" ht="15">
      <c r="A35" s="505" t="s">
        <v>4</v>
      </c>
      <c r="B35" s="518"/>
      <c r="C35" s="493"/>
      <c r="D35" s="436"/>
      <c r="E35" s="477"/>
      <c r="F35" s="478"/>
      <c r="G35" s="601" t="s">
        <v>26</v>
      </c>
      <c r="H35" s="558"/>
      <c r="I35" s="532">
        <f aca="true" t="shared" si="20" ref="I35:AL35">IF($C$23="NO",0,-I34*$C$31)</f>
        <v>-8104703.668229006</v>
      </c>
      <c r="J35" s="532">
        <f t="shared" si="20"/>
        <v>-6483762.934583206</v>
      </c>
      <c r="K35" s="532">
        <f t="shared" si="20"/>
        <v>-4862822.200937403</v>
      </c>
      <c r="L35" s="532">
        <f t="shared" si="20"/>
        <v>-3241881.467291603</v>
      </c>
      <c r="M35" s="532">
        <f t="shared" si="20"/>
        <v>-1620940.7336458014</v>
      </c>
      <c r="N35" s="532">
        <f t="shared" si="20"/>
        <v>0</v>
      </c>
      <c r="O35" s="532">
        <f t="shared" si="20"/>
        <v>0</v>
      </c>
      <c r="P35" s="532">
        <f t="shared" si="20"/>
        <v>0</v>
      </c>
      <c r="Q35" s="532">
        <f t="shared" si="20"/>
        <v>0</v>
      </c>
      <c r="R35" s="532">
        <f t="shared" si="20"/>
        <v>0</v>
      </c>
      <c r="S35" s="532">
        <f t="shared" si="20"/>
        <v>0</v>
      </c>
      <c r="T35" s="532">
        <f t="shared" si="20"/>
        <v>0</v>
      </c>
      <c r="U35" s="532">
        <f t="shared" si="20"/>
        <v>0</v>
      </c>
      <c r="V35" s="532">
        <f t="shared" si="20"/>
        <v>0</v>
      </c>
      <c r="W35" s="532">
        <f t="shared" si="20"/>
        <v>0</v>
      </c>
      <c r="X35" s="532">
        <f t="shared" si="20"/>
        <v>0</v>
      </c>
      <c r="Y35" s="532">
        <f t="shared" si="20"/>
        <v>0</v>
      </c>
      <c r="Z35" s="532">
        <f t="shared" si="20"/>
        <v>0</v>
      </c>
      <c r="AA35" s="532">
        <f t="shared" si="20"/>
        <v>0</v>
      </c>
      <c r="AB35" s="532">
        <f t="shared" si="20"/>
        <v>0</v>
      </c>
      <c r="AC35" s="532">
        <f t="shared" si="20"/>
        <v>0</v>
      </c>
      <c r="AD35" s="532">
        <f t="shared" si="20"/>
        <v>0</v>
      </c>
      <c r="AE35" s="532">
        <f t="shared" si="20"/>
        <v>0</v>
      </c>
      <c r="AF35" s="532">
        <f t="shared" si="20"/>
        <v>0</v>
      </c>
      <c r="AG35" s="532">
        <f t="shared" si="20"/>
        <v>0</v>
      </c>
      <c r="AH35" s="532">
        <f t="shared" si="20"/>
        <v>0</v>
      </c>
      <c r="AI35" s="532">
        <f t="shared" si="20"/>
        <v>0</v>
      </c>
      <c r="AJ35" s="532">
        <f t="shared" si="20"/>
        <v>0</v>
      </c>
      <c r="AK35" s="532">
        <f t="shared" si="20"/>
        <v>0</v>
      </c>
      <c r="AL35" s="550">
        <f t="shared" si="20"/>
        <v>0</v>
      </c>
      <c r="AM35" s="478"/>
      <c r="AN35" s="477"/>
      <c r="AQ35" s="555">
        <v>28</v>
      </c>
    </row>
    <row r="36" spans="1:43" ht="15.75" thickBot="1">
      <c r="A36" s="484" t="s">
        <v>5</v>
      </c>
      <c r="B36" s="540" t="s">
        <v>89</v>
      </c>
      <c r="C36" s="577">
        <f>1%*C8</f>
        <v>3750000</v>
      </c>
      <c r="E36" s="477"/>
      <c r="F36" s="478"/>
      <c r="G36" s="457" t="s">
        <v>41</v>
      </c>
      <c r="H36" s="548"/>
      <c r="I36" s="441">
        <f>I34+I32+I35</f>
        <v>123155976.94964221</v>
      </c>
      <c r="J36" s="442">
        <f aca="true" t="shared" si="21" ref="J36:AL36">J34+J32+J35</f>
        <v>8518584.335347997</v>
      </c>
      <c r="K36" s="442">
        <f t="shared" si="21"/>
        <v>6389255.015320528</v>
      </c>
      <c r="L36" s="442">
        <f t="shared" si="21"/>
        <v>4268185.517019659</v>
      </c>
      <c r="M36" s="442">
        <f t="shared" si="21"/>
        <v>2155577.188160314</v>
      </c>
      <c r="N36" s="442">
        <f>N34+N32+N35</f>
        <v>51636.3156873025</v>
      </c>
      <c r="O36" s="442">
        <f t="shared" si="21"/>
        <v>-2705945.189272278</v>
      </c>
      <c r="P36" s="442">
        <f t="shared" si="21"/>
        <v>-2640065.5810465515</v>
      </c>
      <c r="Q36" s="442">
        <f t="shared" si="21"/>
        <v>-2577459.7278948026</v>
      </c>
      <c r="R36" s="442">
        <f t="shared" si="21"/>
        <v>-2518462.49543125</v>
      </c>
      <c r="S36" s="511">
        <f t="shared" si="21"/>
        <v>-2463430.4514036244</v>
      </c>
      <c r="T36" s="442">
        <f t="shared" si="21"/>
        <v>-2412743.1182223717</v>
      </c>
      <c r="U36" s="442">
        <f t="shared" si="21"/>
        <v>-2366804.2947946424</v>
      </c>
      <c r="V36" s="442">
        <f t="shared" si="21"/>
        <v>-2326043.451432757</v>
      </c>
      <c r="W36" s="511">
        <f t="shared" si="21"/>
        <v>-2290917.2018103525</v>
      </c>
      <c r="X36" s="511">
        <f t="shared" si="21"/>
        <v>-2261910.8561540954</v>
      </c>
      <c r="Y36" s="511">
        <f t="shared" si="21"/>
        <v>-2239540.0600847155</v>
      </c>
      <c r="Z36" s="442">
        <f t="shared" si="21"/>
        <v>-2224352.523759555</v>
      </c>
      <c r="AA36" s="442">
        <f t="shared" si="21"/>
        <v>-2216929.846219698</v>
      </c>
      <c r="AB36" s="442">
        <f t="shared" si="21"/>
        <v>-2217889.4401094466</v>
      </c>
      <c r="AC36" s="442">
        <f t="shared" si="21"/>
        <v>0</v>
      </c>
      <c r="AD36" s="442">
        <f t="shared" si="21"/>
        <v>0</v>
      </c>
      <c r="AE36" s="442">
        <f t="shared" si="21"/>
        <v>0</v>
      </c>
      <c r="AF36" s="442">
        <f t="shared" si="21"/>
        <v>0</v>
      </c>
      <c r="AG36" s="442">
        <f t="shared" si="21"/>
        <v>0</v>
      </c>
      <c r="AH36" s="442">
        <f t="shared" si="21"/>
        <v>0</v>
      </c>
      <c r="AI36" s="511">
        <f t="shared" si="21"/>
        <v>0</v>
      </c>
      <c r="AJ36" s="442">
        <f t="shared" si="21"/>
        <v>0</v>
      </c>
      <c r="AK36" s="442">
        <f t="shared" si="21"/>
        <v>0</v>
      </c>
      <c r="AL36" s="508">
        <f t="shared" si="21"/>
        <v>0</v>
      </c>
      <c r="AM36" s="478"/>
      <c r="AN36" s="477"/>
      <c r="AQ36" s="555">
        <v>29</v>
      </c>
    </row>
    <row r="37" spans="1:43" ht="15.75" thickTop="1">
      <c r="A37" s="484" t="s">
        <v>6</v>
      </c>
      <c r="B37" s="540" t="s">
        <v>89</v>
      </c>
      <c r="C37" s="577">
        <v>0</v>
      </c>
      <c r="E37" s="477"/>
      <c r="F37" s="478"/>
      <c r="G37" s="563"/>
      <c r="H37" s="549"/>
      <c r="I37" s="547"/>
      <c r="J37" s="532"/>
      <c r="K37" s="532"/>
      <c r="L37" s="532"/>
      <c r="M37" s="532"/>
      <c r="N37" s="532"/>
      <c r="O37" s="532"/>
      <c r="P37" s="532"/>
      <c r="Q37" s="532"/>
      <c r="R37" s="532"/>
      <c r="S37" s="500"/>
      <c r="T37" s="532"/>
      <c r="U37" s="532"/>
      <c r="V37" s="532"/>
      <c r="W37" s="500"/>
      <c r="X37" s="500"/>
      <c r="Y37" s="500"/>
      <c r="Z37" s="532"/>
      <c r="AA37" s="532"/>
      <c r="AB37" s="532"/>
      <c r="AC37" s="532"/>
      <c r="AD37" s="532"/>
      <c r="AE37" s="532"/>
      <c r="AF37" s="532"/>
      <c r="AG37" s="532"/>
      <c r="AH37" s="532"/>
      <c r="AI37" s="500"/>
      <c r="AJ37" s="532"/>
      <c r="AK37" s="532"/>
      <c r="AL37" s="550"/>
      <c r="AM37" s="478"/>
      <c r="AN37" s="477"/>
      <c r="AQ37" s="555">
        <v>30</v>
      </c>
    </row>
    <row r="38" spans="1:40" ht="15.75" thickBot="1">
      <c r="A38" s="484" t="s">
        <v>7</v>
      </c>
      <c r="B38" s="540" t="s">
        <v>89</v>
      </c>
      <c r="C38" s="577">
        <v>0</v>
      </c>
      <c r="D38" s="435"/>
      <c r="E38" s="477"/>
      <c r="F38" s="478"/>
      <c r="G38" s="456" t="s">
        <v>38</v>
      </c>
      <c r="H38" s="559"/>
      <c r="I38" s="437">
        <f aca="true" t="shared" si="22" ref="I38:AL38">IF(I8&gt;$C$32,0,(I32)/(1+$C$29)^(I8-0.5))</f>
        <v>106165642.81842479</v>
      </c>
      <c r="J38" s="437">
        <f t="shared" si="22"/>
        <v>-1198460.3201909303</v>
      </c>
      <c r="K38" s="437">
        <f t="shared" si="22"/>
        <v>-824902.7989085891</v>
      </c>
      <c r="L38" s="437">
        <f t="shared" si="22"/>
        <v>-498415.9794801452</v>
      </c>
      <c r="M38" s="437">
        <f t="shared" si="22"/>
        <v>-214157.67776874817</v>
      </c>
      <c r="N38" s="437">
        <f t="shared" si="22"/>
        <v>32258.48575274841</v>
      </c>
      <c r="O38" s="437">
        <f t="shared" si="22"/>
        <v>-1551887.4527832007</v>
      </c>
      <c r="P38" s="437">
        <f t="shared" si="22"/>
        <v>-1389979.6369488777</v>
      </c>
      <c r="Q38" s="437">
        <f t="shared" si="22"/>
        <v>-1245770.6861260606</v>
      </c>
      <c r="R38" s="437">
        <f t="shared" si="22"/>
        <v>-1117465.704393341</v>
      </c>
      <c r="S38" s="437">
        <f t="shared" si="22"/>
        <v>-1003440.2499901645</v>
      </c>
      <c r="T38" s="437">
        <f t="shared" si="22"/>
        <v>-902224.8688831838</v>
      </c>
      <c r="U38" s="437">
        <f t="shared" si="22"/>
        <v>-812490.9893180782</v>
      </c>
      <c r="V38" s="437">
        <f t="shared" si="22"/>
        <v>-733038.0600607141</v>
      </c>
      <c r="W38" s="437">
        <f t="shared" si="22"/>
        <v>-662781.8249969321</v>
      </c>
      <c r="X38" s="437">
        <f t="shared" si="22"/>
        <v>-600743.6358874998</v>
      </c>
      <c r="Y38" s="437">
        <f t="shared" si="22"/>
        <v>-546040.7134336666</v>
      </c>
      <c r="Z38" s="437">
        <f t="shared" si="22"/>
        <v>-497877.2744637655</v>
      </c>
      <c r="AA38" s="437">
        <f t="shared" si="22"/>
        <v>-455536.45006101887</v>
      </c>
      <c r="AB38" s="437">
        <f t="shared" si="22"/>
        <v>-418372.9258712962</v>
      </c>
      <c r="AC38" s="437">
        <f t="shared" si="22"/>
        <v>0</v>
      </c>
      <c r="AD38" s="437">
        <f t="shared" si="22"/>
        <v>0</v>
      </c>
      <c r="AE38" s="437">
        <f t="shared" si="22"/>
        <v>0</v>
      </c>
      <c r="AF38" s="437">
        <f t="shared" si="22"/>
        <v>0</v>
      </c>
      <c r="AG38" s="437">
        <f t="shared" si="22"/>
        <v>0</v>
      </c>
      <c r="AH38" s="437">
        <f t="shared" si="22"/>
        <v>0</v>
      </c>
      <c r="AI38" s="437">
        <f t="shared" si="22"/>
        <v>0</v>
      </c>
      <c r="AJ38" s="437">
        <f t="shared" si="22"/>
        <v>0</v>
      </c>
      <c r="AK38" s="437">
        <f t="shared" si="22"/>
        <v>0</v>
      </c>
      <c r="AL38" s="509">
        <f t="shared" si="22"/>
        <v>0</v>
      </c>
      <c r="AM38" s="478"/>
      <c r="AN38" s="477"/>
    </row>
    <row r="39" spans="1:40" ht="16.5" thickBot="1" thickTop="1">
      <c r="A39" s="484" t="s">
        <v>142</v>
      </c>
      <c r="B39" s="540" t="s">
        <v>89</v>
      </c>
      <c r="C39" s="577">
        <v>0</v>
      </c>
      <c r="D39" s="435"/>
      <c r="E39" s="477"/>
      <c r="F39" s="478"/>
      <c r="G39" s="456" t="s">
        <v>39</v>
      </c>
      <c r="H39" s="559"/>
      <c r="I39" s="437">
        <f aca="true" t="shared" si="23" ref="I39:AL39">IF(I8&gt;$C$32,0,(I36)/(1+$C$29)^(I8-0.5))</f>
        <v>117999927.8747475</v>
      </c>
      <c r="J39" s="437">
        <f t="shared" si="23"/>
        <v>7492835.048447794</v>
      </c>
      <c r="K39" s="437">
        <f t="shared" si="23"/>
        <v>5159189.302880673</v>
      </c>
      <c r="L39" s="437">
        <f t="shared" si="23"/>
        <v>3163931.1558601423</v>
      </c>
      <c r="M39" s="437">
        <f t="shared" si="23"/>
        <v>1466897.6492028334</v>
      </c>
      <c r="N39" s="437">
        <f t="shared" si="23"/>
        <v>32258.48575274841</v>
      </c>
      <c r="O39" s="437">
        <f t="shared" si="23"/>
        <v>-1551887.4527832007</v>
      </c>
      <c r="P39" s="437">
        <f t="shared" si="23"/>
        <v>-1389979.6369488777</v>
      </c>
      <c r="Q39" s="437">
        <f t="shared" si="23"/>
        <v>-1245770.6861260606</v>
      </c>
      <c r="R39" s="437">
        <f t="shared" si="23"/>
        <v>-1117465.704393341</v>
      </c>
      <c r="S39" s="437">
        <f t="shared" si="23"/>
        <v>-1003440.2499901645</v>
      </c>
      <c r="T39" s="437">
        <f t="shared" si="23"/>
        <v>-902224.8688831838</v>
      </c>
      <c r="U39" s="437">
        <f t="shared" si="23"/>
        <v>-812490.9893180782</v>
      </c>
      <c r="V39" s="437">
        <f t="shared" si="23"/>
        <v>-733038.0600607141</v>
      </c>
      <c r="W39" s="437">
        <f t="shared" si="23"/>
        <v>-662781.8249969321</v>
      </c>
      <c r="X39" s="437">
        <f t="shared" si="23"/>
        <v>-600743.6358874998</v>
      </c>
      <c r="Y39" s="437">
        <f t="shared" si="23"/>
        <v>-546040.7134336666</v>
      </c>
      <c r="Z39" s="437">
        <f t="shared" si="23"/>
        <v>-497877.2744637655</v>
      </c>
      <c r="AA39" s="437">
        <f t="shared" si="23"/>
        <v>-455536.45006101887</v>
      </c>
      <c r="AB39" s="437">
        <f t="shared" si="23"/>
        <v>-418372.9258712962</v>
      </c>
      <c r="AC39" s="437">
        <f t="shared" si="23"/>
        <v>0</v>
      </c>
      <c r="AD39" s="437">
        <f t="shared" si="23"/>
        <v>0</v>
      </c>
      <c r="AE39" s="437">
        <f t="shared" si="23"/>
        <v>0</v>
      </c>
      <c r="AF39" s="437">
        <f t="shared" si="23"/>
        <v>0</v>
      </c>
      <c r="AG39" s="437">
        <f t="shared" si="23"/>
        <v>0</v>
      </c>
      <c r="AH39" s="437">
        <f t="shared" si="23"/>
        <v>0</v>
      </c>
      <c r="AI39" s="437">
        <f t="shared" si="23"/>
        <v>0</v>
      </c>
      <c r="AJ39" s="437">
        <f t="shared" si="23"/>
        <v>0</v>
      </c>
      <c r="AK39" s="437">
        <f t="shared" si="23"/>
        <v>0</v>
      </c>
      <c r="AL39" s="509">
        <f t="shared" si="23"/>
        <v>0</v>
      </c>
      <c r="AM39" s="478"/>
      <c r="AN39" s="477"/>
    </row>
    <row r="40" spans="1:43" ht="16.5" thickBot="1" thickTop="1">
      <c r="A40" s="505" t="s">
        <v>35</v>
      </c>
      <c r="B40" s="585"/>
      <c r="C40" s="429"/>
      <c r="D40" s="435"/>
      <c r="E40" s="477"/>
      <c r="F40" s="478"/>
      <c r="G40" s="458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89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69"/>
      <c r="AM40" s="478"/>
      <c r="AN40" s="477"/>
      <c r="AQ40" s="555" t="s">
        <v>99</v>
      </c>
    </row>
    <row r="41" spans="1:43" ht="15.75" thickBot="1">
      <c r="A41" s="484" t="s">
        <v>90</v>
      </c>
      <c r="B41" s="529"/>
      <c r="C41" s="576">
        <f>((1+C28)/(1+C$30))-1</f>
        <v>0.030009775171065733</v>
      </c>
      <c r="E41" s="477"/>
      <c r="F41" s="478"/>
      <c r="G41" s="497" t="s">
        <v>24</v>
      </c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3"/>
      <c r="AM41" s="478"/>
      <c r="AN41" s="477"/>
      <c r="AQ41" s="582">
        <f>'ICAP Price&amp;Impact'!N31</f>
        <v>-0.006677</v>
      </c>
    </row>
    <row r="42" spans="1:40" ht="15">
      <c r="A42" s="484" t="s">
        <v>91</v>
      </c>
      <c r="B42" s="529"/>
      <c r="C42" s="576">
        <f>((1+C29)/(1+C$30))-1</f>
        <v>0.064809384164223</v>
      </c>
      <c r="E42" s="477"/>
      <c r="F42" s="478"/>
      <c r="G42" s="463" t="s">
        <v>43</v>
      </c>
      <c r="H42" s="565"/>
      <c r="I42" s="526">
        <f>IF($C$33="MACRS",VLOOKUP($C$34,'Depreciation Tables'!$B$35:$AF$40,I8+1),IF($C$33="StraightLine",VLOOKUP($C$34,'Depreciation Tables'!$B$3:$AF$32,I8+1),VLOOKUP($C$34,'Depreciation Tables'!$B$43:$AF$44,I8+1)))</f>
        <v>0.2</v>
      </c>
      <c r="J42" s="526">
        <f>IF($C$33="MACRS",VLOOKUP($C$34,'Depreciation Tables'!$B$35:$AF$40,J8+1),IF($C$33="StraightLine",VLOOKUP($C$34,'Depreciation Tables'!$B$3:$AF$32,J8+1),VLOOKUP($C$34,'Depreciation Tables'!$B$43:$AF$44,J8+1)))</f>
        <v>0.32</v>
      </c>
      <c r="K42" s="526">
        <f>IF($C$33="MACRS",VLOOKUP($C$34,'Depreciation Tables'!$B$35:$AF$40,K8+1),IF($C$33="StraightLine",VLOOKUP($C$34,'Depreciation Tables'!$B$3:$AF$32,K8+1),VLOOKUP($C$34,'Depreciation Tables'!$B$43:$AF$44,K8+1)))</f>
        <v>0.192</v>
      </c>
      <c r="L42" s="526">
        <f>IF($C$33="MACRS",VLOOKUP($C$34,'Depreciation Tables'!$B$35:$AF$40,L8+1),IF($C$33="StraightLine",VLOOKUP($C$34,'Depreciation Tables'!$B$3:$AF$32,L8+1),VLOOKUP($C$34,'Depreciation Tables'!$B$43:$AF$44,L8+1)))</f>
        <v>0.1152</v>
      </c>
      <c r="M42" s="526">
        <f>IF($C$33="MACRS",VLOOKUP($C$34,'Depreciation Tables'!$B$35:$AF$40,M8+1),IF($C$33="StraightLine",VLOOKUP($C$34,'Depreciation Tables'!$B$3:$AF$32,M8+1),VLOOKUP($C$34,'Depreciation Tables'!$B$43:$AF$44,M8+1)))</f>
        <v>0.1152</v>
      </c>
      <c r="N42" s="526">
        <f>IF($C$33="MACRS",VLOOKUP($C$34,'Depreciation Tables'!$B$35:$AF$40,N8+1),IF($C$33="StraightLine",VLOOKUP($C$34,'Depreciation Tables'!$B$3:$AF$32,N8+1),VLOOKUP($C$34,'Depreciation Tables'!$B$43:$AF$44,N8+1)))</f>
        <v>0.0576</v>
      </c>
      <c r="O42" s="526">
        <f>IF($C$33="MACRS",VLOOKUP($C$34,'Depreciation Tables'!$B$35:$AF$40,O8+1),IF($C$33="StraightLine",VLOOKUP($C$34,'Depreciation Tables'!$B$3:$AF$32,O8+1),VLOOKUP($C$34,'Depreciation Tables'!$B$43:$AF$44,O8+1)))</f>
        <v>0</v>
      </c>
      <c r="P42" s="526">
        <f>IF($C$33="MACRS",VLOOKUP($C$34,'Depreciation Tables'!$B$35:$AF$40,P8+1),IF($C$33="StraightLine",VLOOKUP($C$34,'Depreciation Tables'!$B$3:$AF$32,P8+1),VLOOKUP($C$34,'Depreciation Tables'!$B$43:$AF$44,P8+1)))</f>
        <v>0</v>
      </c>
      <c r="Q42" s="526">
        <f>IF($C$33="MACRS",VLOOKUP($C$34,'Depreciation Tables'!$B$35:$AF$40,Q8+1),IF($C$33="StraightLine",VLOOKUP($C$34,'Depreciation Tables'!$B$3:$AF$32,Q8+1),VLOOKUP($C$34,'Depreciation Tables'!$B$43:$AF$44,Q8+1)))</f>
        <v>0</v>
      </c>
      <c r="R42" s="526">
        <f>IF($C$33="MACRS",VLOOKUP($C$34,'Depreciation Tables'!$B$35:$AF$40,R8+1),IF($C$33="StraightLine",VLOOKUP($C$34,'Depreciation Tables'!$B$3:$AF$32,R8+1),VLOOKUP($C$34,'Depreciation Tables'!$B$43:$AF$44,R8+1)))</f>
        <v>0</v>
      </c>
      <c r="S42" s="526">
        <f>IF($C$33="MACRS",VLOOKUP($C$34,'Depreciation Tables'!$B$35:$AF$40,S8+1),IF($C$33="StraightLine",VLOOKUP($C$34,'Depreciation Tables'!$B$3:$AF$32,S8+1),VLOOKUP($C$34,'Depreciation Tables'!$B$43:$AF$44,S8+1)))</f>
        <v>0</v>
      </c>
      <c r="T42" s="526">
        <f>IF($C$33="MACRS",VLOOKUP($C$34,'Depreciation Tables'!$B$35:$AF$40,T8+1),IF($C$33="StraightLine",VLOOKUP($C$34,'Depreciation Tables'!$B$3:$AF$32,T8+1),VLOOKUP($C$34,'Depreciation Tables'!$B$43:$AF$44,T8+1)))</f>
        <v>0</v>
      </c>
      <c r="U42" s="526">
        <f>IF($C$33="MACRS",VLOOKUP($C$34,'Depreciation Tables'!$B$35:$AF$40,U8+1),IF($C$33="StraightLine",VLOOKUP($C$34,'Depreciation Tables'!$B$3:$AF$32,U8+1),VLOOKUP($C$34,'Depreciation Tables'!$B$43:$AF$44,U8+1)))</f>
        <v>0</v>
      </c>
      <c r="V42" s="526">
        <f>IF($C$33="MACRS",VLOOKUP($C$34,'Depreciation Tables'!$B$35:$AF$40,V8+1),IF($C$33="StraightLine",VLOOKUP($C$34,'Depreciation Tables'!$B$3:$AF$32,V8+1),VLOOKUP($C$34,'Depreciation Tables'!$B$43:$AF$44,V8+1)))</f>
        <v>0</v>
      </c>
      <c r="W42" s="526">
        <f>IF($C$33="MACRS",VLOOKUP($C$34,'Depreciation Tables'!$B$35:$AF$40,W8+1),IF($C$33="StraightLine",VLOOKUP($C$34,'Depreciation Tables'!$B$3:$AF$32,W8+1),VLOOKUP($C$34,'Depreciation Tables'!$B$43:$AF$44,W8+1)))</f>
        <v>0</v>
      </c>
      <c r="X42" s="526">
        <f>IF($C$33="MACRS",VLOOKUP($C$34,'Depreciation Tables'!$B$35:$AF$40,X8+1),IF($C$33="StraightLine",VLOOKUP($C$34,'Depreciation Tables'!$B$3:$AF$32,X8+1),VLOOKUP($C$34,'Depreciation Tables'!$B$43:$AF$44,X8+1)))</f>
        <v>0</v>
      </c>
      <c r="Y42" s="526">
        <f>IF($C$33="MACRS",VLOOKUP($C$34,'Depreciation Tables'!$B$35:$AF$40,Y8+1),IF($C$33="StraightLine",VLOOKUP($C$34,'Depreciation Tables'!$B$3:$AF$32,Y8+1),VLOOKUP($C$34,'Depreciation Tables'!$B$43:$AF$44,Y8+1)))</f>
        <v>0</v>
      </c>
      <c r="Z42" s="526">
        <f>IF($C$33="MACRS",VLOOKUP($C$34,'Depreciation Tables'!$B$35:$AF$40,Z8+1),IF($C$33="StraightLine",VLOOKUP($C$34,'Depreciation Tables'!$B$3:$AF$32,Z8+1),VLOOKUP($C$34,'Depreciation Tables'!$B$43:$AF$44,Z8+1)))</f>
        <v>0</v>
      </c>
      <c r="AA42" s="526">
        <f>IF($C$33="MACRS",VLOOKUP($C$34,'Depreciation Tables'!$B$35:$AF$40,AA8+1),IF($C$33="StraightLine",VLOOKUP($C$34,'Depreciation Tables'!$B$3:$AF$32,AA8+1),VLOOKUP($C$34,'Depreciation Tables'!$B$43:$AF$44,AA8+1)))</f>
        <v>0</v>
      </c>
      <c r="AB42" s="526">
        <f>IF($C$33="MACRS",VLOOKUP($C$34,'Depreciation Tables'!$B$35:$AF$40,AB8+1),IF($C$33="StraightLine",VLOOKUP($C$34,'Depreciation Tables'!$B$3:$AF$32,AB8+1),VLOOKUP($C$34,'Depreciation Tables'!$B$43:$AF$44,AB8+1)))</f>
        <v>0</v>
      </c>
      <c r="AC42" s="526">
        <f>IF($C$33="MACRS",VLOOKUP($C$34,'Depreciation Tables'!$B$35:$AF$40,AC8+1),IF($C$33="StraightLine",VLOOKUP($C$34,'Depreciation Tables'!$B$3:$AF$32,AC8+1),VLOOKUP($C$34,'Depreciation Tables'!$B$43:$AF$44,AC8+1)))</f>
        <v>0</v>
      </c>
      <c r="AD42" s="526">
        <f>IF($C$33="MACRS",VLOOKUP($C$34,'Depreciation Tables'!$B$35:$AF$40,AD8+1),IF($C$33="StraightLine",VLOOKUP($C$34,'Depreciation Tables'!$B$3:$AF$32,AD8+1),VLOOKUP($C$34,'Depreciation Tables'!$B$43:$AF$44,AD8+1)))</f>
        <v>0</v>
      </c>
      <c r="AE42" s="526">
        <f>IF($C$33="MACRS",VLOOKUP($C$34,'Depreciation Tables'!$B$35:$AF$40,AE8+1),IF($C$33="StraightLine",VLOOKUP($C$34,'Depreciation Tables'!$B$3:$AF$32,AE8+1),VLOOKUP($C$34,'Depreciation Tables'!$B$43:$AF$44,AE8+1)))</f>
        <v>0</v>
      </c>
      <c r="AF42" s="526">
        <f>IF($C$33="MACRS",VLOOKUP($C$34,'Depreciation Tables'!$B$35:$AF$40,AF8+1),IF($C$33="StraightLine",VLOOKUP($C$34,'Depreciation Tables'!$B$3:$AF$32,AF8+1),VLOOKUP($C$34,'Depreciation Tables'!$B$43:$AF$44,AF8+1)))</f>
        <v>0</v>
      </c>
      <c r="AG42" s="526">
        <f>IF($C$33="MACRS",VLOOKUP($C$34,'Depreciation Tables'!$B$35:$AF$40,AG8+1),IF($C$33="StraightLine",VLOOKUP($C$34,'Depreciation Tables'!$B$3:$AF$32,AG8+1),VLOOKUP($C$34,'Depreciation Tables'!$B$43:$AF$44,AG8+1)))</f>
        <v>0</v>
      </c>
      <c r="AH42" s="526">
        <f>IF($C$33="MACRS",VLOOKUP($C$34,'Depreciation Tables'!$B$35:$AF$40,AH8+1),IF($C$33="StraightLine",VLOOKUP($C$34,'Depreciation Tables'!$B$3:$AF$32,AH8+1),VLOOKUP($C$34,'Depreciation Tables'!$B$43:$AF$44,AH8+1)))</f>
        <v>0</v>
      </c>
      <c r="AI42" s="526">
        <f>IF($C$33="MACRS",VLOOKUP($C$34,'Depreciation Tables'!$B$35:$AF$40,AI8+1),IF($C$33="StraightLine",VLOOKUP($C$34,'Depreciation Tables'!$B$3:$AF$32,AI8+1),VLOOKUP($C$34,'Depreciation Tables'!$B$43:$AF$44,AI8+1)))</f>
        <v>0</v>
      </c>
      <c r="AJ42" s="526">
        <f>IF($C$33="MACRS",VLOOKUP($C$34,'Depreciation Tables'!$B$35:$AF$40,AJ8+1),IF($C$33="StraightLine",VLOOKUP($C$34,'Depreciation Tables'!$B$3:$AF$32,AJ8+1),VLOOKUP($C$34,'Depreciation Tables'!$B$43:$AF$44,AJ8+1)))</f>
        <v>0</v>
      </c>
      <c r="AK42" s="526">
        <f>IF($C$33="MACRS",VLOOKUP($C$34,'Depreciation Tables'!$B$35:$AF$40,AK8+1),IF($C$33="StraightLine",VLOOKUP($C$34,'Depreciation Tables'!$B$3:$AF$32,AK8+1),VLOOKUP($C$34,'Depreciation Tables'!$B$43:$AF$44,AK8+1)))</f>
        <v>0</v>
      </c>
      <c r="AL42" s="527">
        <f>IF($C$33="MACRS",VLOOKUP($C$34,'Depreciation Tables'!$B$35:$AF$40,AL8+1),IF($C$33="StraightLine",VLOOKUP($C$34,'Depreciation Tables'!$B$3:$AF$32,AL8+1),VLOOKUP($C$34,'Depreciation Tables'!$B$43:$AF$44,AL8+1)))</f>
        <v>0</v>
      </c>
      <c r="AM42" s="478"/>
      <c r="AN42" s="477"/>
    </row>
    <row r="43" spans="1:40" ht="15">
      <c r="A43" s="484" t="s">
        <v>92</v>
      </c>
      <c r="B43" s="529"/>
      <c r="C43" s="576">
        <f>C26*C41+C27*C42</f>
        <v>0.047409579667644364</v>
      </c>
      <c r="D43" s="544"/>
      <c r="E43" s="477"/>
      <c r="F43" s="478"/>
      <c r="G43" s="561" t="s">
        <v>30</v>
      </c>
      <c r="H43" s="538"/>
      <c r="I43" s="554">
        <f>C8</f>
        <v>375000000</v>
      </c>
      <c r="J43" s="554">
        <f>I45</f>
        <v>300000000</v>
      </c>
      <c r="K43" s="554">
        <f aca="true" t="shared" si="24" ref="K43:R43">J45</f>
        <v>180000000</v>
      </c>
      <c r="L43" s="554">
        <f t="shared" si="24"/>
        <v>108000000</v>
      </c>
      <c r="M43" s="554">
        <f t="shared" si="24"/>
        <v>64800000</v>
      </c>
      <c r="N43" s="554">
        <f t="shared" si="24"/>
        <v>21600000</v>
      </c>
      <c r="O43" s="554">
        <f t="shared" si="24"/>
        <v>0</v>
      </c>
      <c r="P43" s="554">
        <f t="shared" si="24"/>
        <v>0</v>
      </c>
      <c r="Q43" s="554">
        <f t="shared" si="24"/>
        <v>0</v>
      </c>
      <c r="R43" s="554">
        <f t="shared" si="24"/>
        <v>0</v>
      </c>
      <c r="S43" s="554">
        <f>R45</f>
        <v>0</v>
      </c>
      <c r="T43" s="554">
        <f>S45</f>
        <v>0</v>
      </c>
      <c r="U43" s="554">
        <f>T45</f>
        <v>0</v>
      </c>
      <c r="V43" s="554">
        <f>U45</f>
        <v>0</v>
      </c>
      <c r="W43" s="554">
        <f>V45</f>
        <v>0</v>
      </c>
      <c r="X43" s="554">
        <f>W45</f>
        <v>0</v>
      </c>
      <c r="Y43" s="554">
        <f>X45</f>
        <v>0</v>
      </c>
      <c r="Z43" s="554">
        <f aca="true" t="shared" si="25" ref="Z43:AG43">Y45</f>
        <v>0</v>
      </c>
      <c r="AA43" s="554">
        <f t="shared" si="25"/>
        <v>0</v>
      </c>
      <c r="AB43" s="554">
        <f t="shared" si="25"/>
        <v>0</v>
      </c>
      <c r="AC43" s="554">
        <f t="shared" si="25"/>
        <v>0</v>
      </c>
      <c r="AD43" s="554">
        <f t="shared" si="25"/>
        <v>0</v>
      </c>
      <c r="AE43" s="554">
        <f t="shared" si="25"/>
        <v>0</v>
      </c>
      <c r="AF43" s="554">
        <f t="shared" si="25"/>
        <v>0</v>
      </c>
      <c r="AG43" s="554">
        <f t="shared" si="25"/>
        <v>0</v>
      </c>
      <c r="AH43" s="554">
        <f>AG45</f>
        <v>0</v>
      </c>
      <c r="AI43" s="554">
        <f>AH45</f>
        <v>0</v>
      </c>
      <c r="AJ43" s="554">
        <f>AI45</f>
        <v>0</v>
      </c>
      <c r="AK43" s="554">
        <f>AJ45</f>
        <v>0</v>
      </c>
      <c r="AL43" s="567">
        <f>AK45</f>
        <v>0</v>
      </c>
      <c r="AM43" s="478"/>
      <c r="AN43" s="477"/>
    </row>
    <row r="44" spans="1:40" ht="15">
      <c r="A44" s="484" t="s">
        <v>36</v>
      </c>
      <c r="B44" s="540"/>
      <c r="C44" s="532">
        <f>PMT(C28,C32,(C26*C8))</f>
        <v>-15521083.927128809</v>
      </c>
      <c r="E44" s="477"/>
      <c r="F44" s="478"/>
      <c r="G44" s="561" t="s">
        <v>29</v>
      </c>
      <c r="H44" s="538"/>
      <c r="I44" s="547">
        <f>-MIN($I$43*I42,I43)</f>
        <v>-75000000</v>
      </c>
      <c r="J44" s="547">
        <f aca="true" t="shared" si="26" ref="J44:AL44">-MIN($I$43*J42,J43)</f>
        <v>-120000000</v>
      </c>
      <c r="K44" s="547">
        <f t="shared" si="26"/>
        <v>-72000000</v>
      </c>
      <c r="L44" s="547">
        <f t="shared" si="26"/>
        <v>-43200000</v>
      </c>
      <c r="M44" s="547">
        <f t="shared" si="26"/>
        <v>-43200000</v>
      </c>
      <c r="N44" s="547">
        <f t="shared" si="26"/>
        <v>-21600000</v>
      </c>
      <c r="O44" s="547">
        <f t="shared" si="26"/>
        <v>0</v>
      </c>
      <c r="P44" s="547">
        <f t="shared" si="26"/>
        <v>0</v>
      </c>
      <c r="Q44" s="547">
        <f t="shared" si="26"/>
        <v>0</v>
      </c>
      <c r="R44" s="448">
        <f t="shared" si="26"/>
        <v>0</v>
      </c>
      <c r="S44" s="448">
        <f t="shared" si="26"/>
        <v>0</v>
      </c>
      <c r="T44" s="448">
        <f t="shared" si="26"/>
        <v>0</v>
      </c>
      <c r="U44" s="448">
        <f t="shared" si="26"/>
        <v>0</v>
      </c>
      <c r="V44" s="448">
        <f t="shared" si="26"/>
        <v>0</v>
      </c>
      <c r="W44" s="448">
        <f t="shared" si="26"/>
        <v>0</v>
      </c>
      <c r="X44" s="448">
        <f t="shared" si="26"/>
        <v>0</v>
      </c>
      <c r="Y44" s="448">
        <f t="shared" si="26"/>
        <v>0</v>
      </c>
      <c r="Z44" s="547">
        <f t="shared" si="26"/>
        <v>0</v>
      </c>
      <c r="AA44" s="547">
        <f t="shared" si="26"/>
        <v>0</v>
      </c>
      <c r="AB44" s="547">
        <f t="shared" si="26"/>
        <v>0</v>
      </c>
      <c r="AC44" s="547">
        <f t="shared" si="26"/>
        <v>0</v>
      </c>
      <c r="AD44" s="547">
        <f t="shared" si="26"/>
        <v>0</v>
      </c>
      <c r="AE44" s="547">
        <f t="shared" si="26"/>
        <v>0</v>
      </c>
      <c r="AF44" s="547">
        <f t="shared" si="26"/>
        <v>0</v>
      </c>
      <c r="AG44" s="448">
        <f t="shared" si="26"/>
        <v>0</v>
      </c>
      <c r="AH44" s="448">
        <f t="shared" si="26"/>
        <v>0</v>
      </c>
      <c r="AI44" s="448">
        <f t="shared" si="26"/>
        <v>0</v>
      </c>
      <c r="AJ44" s="448">
        <f t="shared" si="26"/>
        <v>0</v>
      </c>
      <c r="AK44" s="448">
        <f t="shared" si="26"/>
        <v>0</v>
      </c>
      <c r="AL44" s="524">
        <f t="shared" si="26"/>
        <v>0</v>
      </c>
      <c r="AM44" s="478"/>
      <c r="AN44" s="477"/>
    </row>
    <row r="45" spans="1:40" ht="15.75" thickBot="1">
      <c r="A45" s="540"/>
      <c r="B45" s="540"/>
      <c r="C45" s="600"/>
      <c r="D45" s="544"/>
      <c r="E45" s="477"/>
      <c r="F45" s="478"/>
      <c r="G45" s="568" t="s">
        <v>34</v>
      </c>
      <c r="H45" s="429"/>
      <c r="I45" s="445">
        <f>SUM(I43:I44)</f>
        <v>300000000</v>
      </c>
      <c r="J45" s="445">
        <f aca="true" t="shared" si="27" ref="J45:R45">SUM(J43:J44)</f>
        <v>180000000</v>
      </c>
      <c r="K45" s="445">
        <f t="shared" si="27"/>
        <v>108000000</v>
      </c>
      <c r="L45" s="445">
        <f t="shared" si="27"/>
        <v>64800000</v>
      </c>
      <c r="M45" s="445">
        <f t="shared" si="27"/>
        <v>21600000</v>
      </c>
      <c r="N45" s="445">
        <f>SUM(N43:N44)</f>
        <v>0</v>
      </c>
      <c r="O45" s="445">
        <f t="shared" si="27"/>
        <v>0</v>
      </c>
      <c r="P45" s="445">
        <f t="shared" si="27"/>
        <v>0</v>
      </c>
      <c r="Q45" s="445">
        <f t="shared" si="27"/>
        <v>0</v>
      </c>
      <c r="R45" s="447">
        <f t="shared" si="27"/>
        <v>0</v>
      </c>
      <c r="S45" s="447">
        <f>SUM(S43:S44)</f>
        <v>0</v>
      </c>
      <c r="T45" s="447">
        <f aca="true" t="shared" si="28" ref="T45:AB45">SUM(T43:T44)</f>
        <v>0</v>
      </c>
      <c r="U45" s="447">
        <f t="shared" si="28"/>
        <v>0</v>
      </c>
      <c r="V45" s="447">
        <f t="shared" si="28"/>
        <v>0</v>
      </c>
      <c r="W45" s="447">
        <f t="shared" si="28"/>
        <v>0</v>
      </c>
      <c r="X45" s="447">
        <f t="shared" si="28"/>
        <v>0</v>
      </c>
      <c r="Y45" s="447">
        <f t="shared" si="28"/>
        <v>0</v>
      </c>
      <c r="Z45" s="445">
        <f t="shared" si="28"/>
        <v>0</v>
      </c>
      <c r="AA45" s="445">
        <f t="shared" si="28"/>
        <v>0</v>
      </c>
      <c r="AB45" s="445">
        <f t="shared" si="28"/>
        <v>0</v>
      </c>
      <c r="AC45" s="445">
        <f>SUM(AC43:AC44)</f>
        <v>0</v>
      </c>
      <c r="AD45" s="445">
        <f>SUM(AD43:AD44)</f>
        <v>0</v>
      </c>
      <c r="AE45" s="445">
        <f>SUM(AE43:AE44)</f>
        <v>0</v>
      </c>
      <c r="AF45" s="445">
        <f>SUM(AF43:AF44)</f>
        <v>0</v>
      </c>
      <c r="AG45" s="447">
        <f>SUM(AG43:AG44)</f>
        <v>0</v>
      </c>
      <c r="AH45" s="447">
        <f>SUM(AH43:AH44)</f>
        <v>0</v>
      </c>
      <c r="AI45" s="447">
        <f>SUM(AI43:AI44)</f>
        <v>0</v>
      </c>
      <c r="AJ45" s="447">
        <f>SUM(AJ43:AJ44)</f>
        <v>0</v>
      </c>
      <c r="AK45" s="447">
        <f>SUM(AK43:AK44)</f>
        <v>0</v>
      </c>
      <c r="AL45" s="523">
        <f>SUM(AL43:AL44)</f>
        <v>0</v>
      </c>
      <c r="AM45" s="478"/>
      <c r="AN45" s="477"/>
    </row>
    <row r="46" spans="1:45" ht="16.5" thickBot="1" thickTop="1">
      <c r="A46" s="531"/>
      <c r="B46" s="531"/>
      <c r="C46" s="531"/>
      <c r="E46" s="477"/>
      <c r="F46" s="478"/>
      <c r="G46" s="458"/>
      <c r="H46" s="459"/>
      <c r="I46" s="556"/>
      <c r="J46" s="459"/>
      <c r="K46" s="459"/>
      <c r="L46" s="459"/>
      <c r="M46" s="459"/>
      <c r="N46" s="459"/>
      <c r="O46" s="459"/>
      <c r="P46" s="459"/>
      <c r="Q46" s="459"/>
      <c r="R46" s="459"/>
      <c r="S46" s="489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69"/>
      <c r="AM46" s="478"/>
      <c r="AN46" s="477"/>
      <c r="AQ46" s="607" t="s">
        <v>153</v>
      </c>
      <c r="AR46" s="606"/>
      <c r="AS46" s="608">
        <v>0.35</v>
      </c>
    </row>
    <row r="47" spans="1:45" ht="18" thickBot="1">
      <c r="A47" s="588" t="s">
        <v>42</v>
      </c>
      <c r="B47" s="589"/>
      <c r="C47" s="590"/>
      <c r="E47" s="477"/>
      <c r="F47" s="478"/>
      <c r="G47" s="497" t="s">
        <v>31</v>
      </c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3"/>
      <c r="AM47" s="478"/>
      <c r="AN47" s="477"/>
      <c r="AQ47" s="607" t="s">
        <v>154</v>
      </c>
      <c r="AR47" s="606"/>
      <c r="AS47" s="608">
        <v>0.071</v>
      </c>
    </row>
    <row r="48" spans="1:45" ht="18">
      <c r="A48" s="591" t="s">
        <v>37</v>
      </c>
      <c r="B48" s="592"/>
      <c r="C48" s="597">
        <f ca="1">SUM(I38:OFFSET($H$38,0,$C$32))-($C$8*C27)</f>
        <v>-95975685.94538869</v>
      </c>
      <c r="E48" s="477"/>
      <c r="F48" s="478"/>
      <c r="G48" s="564" t="s">
        <v>30</v>
      </c>
      <c r="H48" s="565"/>
      <c r="I48" s="461">
        <f>IF(I8&gt;C32,0,C26*C8)</f>
        <v>187500000</v>
      </c>
      <c r="J48" s="462">
        <f aca="true" t="shared" si="29" ref="J48:AL48">IF(J8&gt;$C$32,0,I51)</f>
        <v>182047666.07287118</v>
      </c>
      <c r="K48" s="462">
        <f t="shared" si="29"/>
        <v>176302541.81385556</v>
      </c>
      <c r="L48" s="462">
        <f t="shared" si="29"/>
        <v>170248904.3821308</v>
      </c>
      <c r="M48" s="462">
        <f t="shared" si="29"/>
        <v>163870186.6203224</v>
      </c>
      <c r="N48" s="462">
        <f t="shared" si="29"/>
        <v>157148931.7147049</v>
      </c>
      <c r="O48" s="462">
        <f t="shared" si="29"/>
        <v>150066745.42065576</v>
      </c>
      <c r="P48" s="462">
        <f t="shared" si="29"/>
        <v>142604245.72261617</v>
      </c>
      <c r="Q48" s="462">
        <f t="shared" si="29"/>
        <v>134741009.79079184</v>
      </c>
      <c r="R48" s="462">
        <f t="shared" si="29"/>
        <v>126455518.08942856</v>
      </c>
      <c r="S48" s="462">
        <f t="shared" si="29"/>
        <v>117725095.48370206</v>
      </c>
      <c r="T48" s="462">
        <f t="shared" si="29"/>
        <v>108525849.18404806</v>
      </c>
      <c r="U48" s="462">
        <f t="shared" si="29"/>
        <v>98832603.35810262</v>
      </c>
      <c r="V48" s="462">
        <f t="shared" si="29"/>
        <v>88618830.23130393</v>
      </c>
      <c r="W48" s="462">
        <f t="shared" si="29"/>
        <v>77856577.48759614</v>
      </c>
      <c r="X48" s="462">
        <f t="shared" si="29"/>
        <v>66516391.771551244</v>
      </c>
      <c r="Y48" s="462">
        <f t="shared" si="29"/>
        <v>54567238.082554735</v>
      </c>
      <c r="Z48" s="462">
        <f t="shared" si="29"/>
        <v>41976414.840459116</v>
      </c>
      <c r="AA48" s="462">
        <f t="shared" si="29"/>
        <v>28709464.39026296</v>
      </c>
      <c r="AB48" s="462">
        <f t="shared" si="29"/>
        <v>14730078.700891273</v>
      </c>
      <c r="AC48" s="462">
        <f t="shared" si="29"/>
        <v>0</v>
      </c>
      <c r="AD48" s="462">
        <f t="shared" si="29"/>
        <v>0</v>
      </c>
      <c r="AE48" s="462">
        <f t="shared" si="29"/>
        <v>0</v>
      </c>
      <c r="AF48" s="462">
        <f t="shared" si="29"/>
        <v>0</v>
      </c>
      <c r="AG48" s="462">
        <f t="shared" si="29"/>
        <v>0</v>
      </c>
      <c r="AH48" s="462">
        <f t="shared" si="29"/>
        <v>0</v>
      </c>
      <c r="AI48" s="462">
        <f t="shared" si="29"/>
        <v>0</v>
      </c>
      <c r="AJ48" s="462">
        <f t="shared" si="29"/>
        <v>0</v>
      </c>
      <c r="AK48" s="462">
        <f t="shared" si="29"/>
        <v>0</v>
      </c>
      <c r="AL48" s="522">
        <f t="shared" si="29"/>
        <v>0</v>
      </c>
      <c r="AM48" s="478"/>
      <c r="AN48" s="477"/>
      <c r="AQ48" s="607" t="s">
        <v>155</v>
      </c>
      <c r="AR48" s="606"/>
      <c r="AS48" s="609">
        <v>0.0885</v>
      </c>
    </row>
    <row r="49" spans="1:45" ht="18" thickBot="1">
      <c r="A49" s="593" t="s">
        <v>105</v>
      </c>
      <c r="B49" s="586"/>
      <c r="C49" s="594"/>
      <c r="E49" s="477"/>
      <c r="F49" s="478"/>
      <c r="G49" s="560" t="s">
        <v>32</v>
      </c>
      <c r="H49" s="539"/>
      <c r="I49" s="544">
        <f aca="true" t="shared" si="30" ref="I49:AL49">IF(I8&gt;$C$32,0,-I48*$C$28)</f>
        <v>-10068750</v>
      </c>
      <c r="J49" s="544">
        <f t="shared" si="30"/>
        <v>-9775959.668113181</v>
      </c>
      <c r="K49" s="544">
        <f t="shared" si="30"/>
        <v>-9467446.495404042</v>
      </c>
      <c r="L49" s="544">
        <f t="shared" si="30"/>
        <v>-9142366.165320424</v>
      </c>
      <c r="M49" s="544">
        <f t="shared" si="30"/>
        <v>-8799829.021511313</v>
      </c>
      <c r="N49" s="544">
        <f t="shared" si="30"/>
        <v>-8438897.633079654</v>
      </c>
      <c r="O49" s="544">
        <f t="shared" si="30"/>
        <v>-8058584.229089214</v>
      </c>
      <c r="P49" s="544">
        <f t="shared" si="30"/>
        <v>-7657847.995304488</v>
      </c>
      <c r="Q49" s="544">
        <f t="shared" si="30"/>
        <v>-7235592.225765522</v>
      </c>
      <c r="R49" s="544">
        <f t="shared" si="30"/>
        <v>-6790661.321402313</v>
      </c>
      <c r="S49" s="544">
        <f t="shared" si="30"/>
        <v>-6321837.627474801</v>
      </c>
      <c r="T49" s="544">
        <f t="shared" si="30"/>
        <v>-5827838.10118338</v>
      </c>
      <c r="U49" s="544">
        <f t="shared" si="30"/>
        <v>-5307310.800330111</v>
      </c>
      <c r="V49" s="544">
        <f t="shared" si="30"/>
        <v>-4758831.18342102</v>
      </c>
      <c r="W49" s="544">
        <f t="shared" si="30"/>
        <v>-4180898.2110839123</v>
      </c>
      <c r="X49" s="544">
        <f t="shared" si="30"/>
        <v>-3571930.2381323017</v>
      </c>
      <c r="Y49" s="544">
        <f t="shared" si="30"/>
        <v>-2930260.685033189</v>
      </c>
      <c r="Z49" s="544">
        <f t="shared" si="30"/>
        <v>-2254133.4769326546</v>
      </c>
      <c r="AA49" s="544">
        <f t="shared" si="30"/>
        <v>-1541698.237757121</v>
      </c>
      <c r="AB49" s="544">
        <f t="shared" si="30"/>
        <v>-791005.2262378613</v>
      </c>
      <c r="AC49" s="544">
        <f t="shared" si="30"/>
        <v>0</v>
      </c>
      <c r="AD49" s="544">
        <f t="shared" si="30"/>
        <v>0</v>
      </c>
      <c r="AE49" s="544">
        <f t="shared" si="30"/>
        <v>0</v>
      </c>
      <c r="AF49" s="544">
        <f t="shared" si="30"/>
        <v>0</v>
      </c>
      <c r="AG49" s="544">
        <f t="shared" si="30"/>
        <v>0</v>
      </c>
      <c r="AH49" s="544">
        <f t="shared" si="30"/>
        <v>0</v>
      </c>
      <c r="AI49" s="544">
        <f t="shared" si="30"/>
        <v>0</v>
      </c>
      <c r="AJ49" s="544">
        <f t="shared" si="30"/>
        <v>0</v>
      </c>
      <c r="AK49" s="544">
        <f t="shared" si="30"/>
        <v>0</v>
      </c>
      <c r="AL49" s="475">
        <f t="shared" si="30"/>
        <v>0</v>
      </c>
      <c r="AM49" s="478"/>
      <c r="AN49" s="477"/>
      <c r="AQ49" s="607" t="s">
        <v>14</v>
      </c>
      <c r="AR49" s="606"/>
      <c r="AS49" s="608">
        <f>AS46+(1-AS46)*(AS47+AS48)</f>
        <v>0.45367499999999994</v>
      </c>
    </row>
    <row r="50" spans="1:45" ht="18" thickBot="1">
      <c r="A50" s="595" t="s">
        <v>104</v>
      </c>
      <c r="B50" s="596"/>
      <c r="C50" s="598">
        <f ca="1">SUM(I39:OFFSET($H$39,0,$C$32))-($C$8*C27)</f>
        <v>-64122610.95632611</v>
      </c>
      <c r="E50" s="477"/>
      <c r="F50" s="478"/>
      <c r="G50" s="560" t="s">
        <v>33</v>
      </c>
      <c r="H50" s="539"/>
      <c r="I50" s="544">
        <f aca="true" t="shared" si="31" ref="I50:AL50">IF(I8&gt;$C$32,0,$C$44-I49)</f>
        <v>-5452333.927128809</v>
      </c>
      <c r="J50" s="544">
        <f t="shared" si="31"/>
        <v>-5745124.259015627</v>
      </c>
      <c r="K50" s="544">
        <f t="shared" si="31"/>
        <v>-6053637.431724766</v>
      </c>
      <c r="L50" s="544">
        <f t="shared" si="31"/>
        <v>-6378717.761808384</v>
      </c>
      <c r="M50" s="544">
        <f t="shared" si="31"/>
        <v>-6721254.905617496</v>
      </c>
      <c r="N50" s="544">
        <f t="shared" si="31"/>
        <v>-7082186.294049155</v>
      </c>
      <c r="O50" s="544">
        <f t="shared" si="31"/>
        <v>-7462499.698039595</v>
      </c>
      <c r="P50" s="544">
        <f t="shared" si="31"/>
        <v>-7863235.931824321</v>
      </c>
      <c r="Q50" s="544">
        <f t="shared" si="31"/>
        <v>-8285491.701363287</v>
      </c>
      <c r="R50" s="544">
        <f t="shared" si="31"/>
        <v>-8730422.605726495</v>
      </c>
      <c r="S50" s="544">
        <f t="shared" si="31"/>
        <v>-9199246.299654007</v>
      </c>
      <c r="T50" s="544">
        <f t="shared" si="31"/>
        <v>-9693245.82594543</v>
      </c>
      <c r="U50" s="544">
        <f t="shared" si="31"/>
        <v>-10213773.126798697</v>
      </c>
      <c r="V50" s="544">
        <f t="shared" si="31"/>
        <v>-10762252.743707787</v>
      </c>
      <c r="W50" s="544">
        <f t="shared" si="31"/>
        <v>-11340185.716044895</v>
      </c>
      <c r="X50" s="544">
        <f t="shared" si="31"/>
        <v>-11949153.688996507</v>
      </c>
      <c r="Y50" s="544">
        <f t="shared" si="31"/>
        <v>-12590823.24209562</v>
      </c>
      <c r="Z50" s="544">
        <f t="shared" si="31"/>
        <v>-13266950.450196154</v>
      </c>
      <c r="AA50" s="544">
        <f t="shared" si="31"/>
        <v>-13979385.689371688</v>
      </c>
      <c r="AB50" s="544">
        <f t="shared" si="31"/>
        <v>-14730078.700890947</v>
      </c>
      <c r="AC50" s="544">
        <f t="shared" si="31"/>
        <v>0</v>
      </c>
      <c r="AD50" s="544">
        <f t="shared" si="31"/>
        <v>0</v>
      </c>
      <c r="AE50" s="544">
        <f t="shared" si="31"/>
        <v>0</v>
      </c>
      <c r="AF50" s="544">
        <f t="shared" si="31"/>
        <v>0</v>
      </c>
      <c r="AG50" s="544">
        <f t="shared" si="31"/>
        <v>0</v>
      </c>
      <c r="AH50" s="544">
        <f t="shared" si="31"/>
        <v>0</v>
      </c>
      <c r="AI50" s="544">
        <f t="shared" si="31"/>
        <v>0</v>
      </c>
      <c r="AJ50" s="544">
        <f t="shared" si="31"/>
        <v>0</v>
      </c>
      <c r="AK50" s="544">
        <f t="shared" si="31"/>
        <v>0</v>
      </c>
      <c r="AL50" s="475">
        <f t="shared" si="31"/>
        <v>0</v>
      </c>
      <c r="AM50" s="478"/>
      <c r="AN50" s="477"/>
      <c r="AQ50" s="602"/>
      <c r="AR50" s="602"/>
      <c r="AS50" s="608">
        <f>(1-AS46)*(AS47+AS48)</f>
        <v>0.10367499999999999</v>
      </c>
    </row>
    <row r="51" spans="5:40" ht="15.75" thickBot="1">
      <c r="E51" s="477"/>
      <c r="F51" s="478"/>
      <c r="G51" s="566" t="s">
        <v>34</v>
      </c>
      <c r="H51" s="534"/>
      <c r="I51" s="445">
        <f>I48+I50</f>
        <v>182047666.07287118</v>
      </c>
      <c r="J51" s="446">
        <f>J48+J50</f>
        <v>176302541.81385556</v>
      </c>
      <c r="K51" s="446">
        <f aca="true" t="shared" si="32" ref="K51:R51">K48+K50</f>
        <v>170248904.3821308</v>
      </c>
      <c r="L51" s="446">
        <f t="shared" si="32"/>
        <v>163870186.6203224</v>
      </c>
      <c r="M51" s="446">
        <f t="shared" si="32"/>
        <v>157148931.7147049</v>
      </c>
      <c r="N51" s="446">
        <f t="shared" si="32"/>
        <v>150066745.42065576</v>
      </c>
      <c r="O51" s="446">
        <f t="shared" si="32"/>
        <v>142604245.72261617</v>
      </c>
      <c r="P51" s="446">
        <f t="shared" si="32"/>
        <v>134741009.79079184</v>
      </c>
      <c r="Q51" s="446">
        <f t="shared" si="32"/>
        <v>126455518.08942856</v>
      </c>
      <c r="R51" s="446">
        <f t="shared" si="32"/>
        <v>117725095.48370206</v>
      </c>
      <c r="S51" s="446">
        <f>S48+S50</f>
        <v>108525849.18404806</v>
      </c>
      <c r="T51" s="446">
        <f>T48+T50</f>
        <v>98832603.35810262</v>
      </c>
      <c r="U51" s="446">
        <f>U48+U50</f>
        <v>88618830.23130393</v>
      </c>
      <c r="V51" s="446">
        <f>V48+V50</f>
        <v>77856577.48759614</v>
      </c>
      <c r="W51" s="446">
        <f>W48+W50</f>
        <v>66516391.771551244</v>
      </c>
      <c r="X51" s="446">
        <f>X48+X50</f>
        <v>54567238.082554735</v>
      </c>
      <c r="Y51" s="446">
        <f>Y48+Y50</f>
        <v>41976414.840459116</v>
      </c>
      <c r="Z51" s="446">
        <f aca="true" t="shared" si="33" ref="Z51:AG51">Z48+Z50</f>
        <v>28709464.39026296</v>
      </c>
      <c r="AA51" s="446">
        <f t="shared" si="33"/>
        <v>14730078.700891273</v>
      </c>
      <c r="AB51" s="446">
        <f t="shared" si="33"/>
        <v>3.259629011154175E-07</v>
      </c>
      <c r="AC51" s="446">
        <f t="shared" si="33"/>
        <v>0</v>
      </c>
      <c r="AD51" s="446">
        <f t="shared" si="33"/>
        <v>0</v>
      </c>
      <c r="AE51" s="446">
        <f t="shared" si="33"/>
        <v>0</v>
      </c>
      <c r="AF51" s="446">
        <f t="shared" si="33"/>
        <v>0</v>
      </c>
      <c r="AG51" s="446">
        <f t="shared" si="33"/>
        <v>0</v>
      </c>
      <c r="AH51" s="446">
        <f>AH48+AH50</f>
        <v>0</v>
      </c>
      <c r="AI51" s="446">
        <f>AI48+AI50</f>
        <v>0</v>
      </c>
      <c r="AJ51" s="446">
        <f>AJ48+AJ50</f>
        <v>0</v>
      </c>
      <c r="AK51" s="446">
        <f>AK48+AK50</f>
        <v>0</v>
      </c>
      <c r="AL51" s="521">
        <f>AL48+AL50</f>
        <v>0</v>
      </c>
      <c r="AM51" s="478"/>
      <c r="AN51" s="477"/>
    </row>
    <row r="52" spans="5:40" ht="12" customHeight="1" thickBot="1" thickTop="1">
      <c r="E52" s="477"/>
      <c r="F52" s="478"/>
      <c r="G52" s="458"/>
      <c r="H52" s="459"/>
      <c r="I52" s="556"/>
      <c r="J52" s="459"/>
      <c r="K52" s="459"/>
      <c r="L52" s="459"/>
      <c r="M52" s="459"/>
      <c r="N52" s="459"/>
      <c r="O52" s="459"/>
      <c r="P52" s="459"/>
      <c r="Q52" s="459"/>
      <c r="R52" s="459"/>
      <c r="S52" s="501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60"/>
      <c r="AM52" s="478"/>
      <c r="AN52" s="477"/>
    </row>
    <row r="53" spans="5:40" ht="7.5" customHeight="1">
      <c r="E53" s="477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7"/>
    </row>
    <row r="54" spans="2:40" ht="15">
      <c r="B54" s="496" t="s">
        <v>77</v>
      </c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</row>
    <row r="56" spans="1:3" ht="14.25">
      <c r="A56" s="611" t="s">
        <v>156</v>
      </c>
      <c r="B56" s="610"/>
      <c r="C56" s="612">
        <f>C50/C9/1000</f>
        <v>-641.2261095632612</v>
      </c>
    </row>
    <row r="58" spans="7:19" ht="14.25">
      <c r="G58" s="530"/>
      <c r="H58" s="492"/>
      <c r="I58" s="487"/>
      <c r="S58" s="578"/>
    </row>
    <row r="60" spans="35:38" ht="14.25">
      <c r="AI60" s="530"/>
      <c r="AJ60" s="530"/>
      <c r="AK60" s="530"/>
      <c r="AL60" s="530"/>
    </row>
    <row r="61" spans="9:10" ht="14.25">
      <c r="I61" s="599"/>
      <c r="J61" s="578"/>
    </row>
    <row r="62" spans="1:9" ht="18">
      <c r="A62" s="520"/>
      <c r="I62" s="599"/>
    </row>
    <row r="63" spans="1:18" ht="18">
      <c r="A63" s="520"/>
      <c r="I63" s="580"/>
      <c r="J63" s="580"/>
      <c r="K63" s="580"/>
      <c r="L63" s="580"/>
      <c r="M63" s="580"/>
      <c r="N63" s="581"/>
      <c r="O63" s="581"/>
      <c r="P63" s="581"/>
      <c r="Q63" s="581"/>
      <c r="R63" s="581"/>
    </row>
    <row r="64" spans="15:18" ht="14.25">
      <c r="O64" s="546"/>
      <c r="P64" s="546"/>
      <c r="Q64" s="546"/>
      <c r="R64" s="546"/>
    </row>
    <row r="65" spans="9:13" ht="14.25">
      <c r="I65" s="583"/>
      <c r="J65" s="583"/>
      <c r="K65" s="583"/>
      <c r="L65" s="583"/>
      <c r="M65" s="583"/>
    </row>
  </sheetData>
  <sheetProtection/>
  <mergeCells count="1">
    <mergeCell ref="A4:C4"/>
  </mergeCells>
  <conditionalFormatting sqref="A64:A65529 A55:A61 A47:A53 A46:C46 B47:C65529 A45 C21 B22:C45 C18:C19 B17:B21 G42:AL46 G48:AL52 G55:AL65527 AM55:AM65526 F56:F65526 D7:D65523 AN55:AN65525 A4:A5 D4:D5 B5:C5 G8:AL10 AO1:IV65536 E56:E65525 G12:AL40 E55:F55 B7:C16">
    <cfRule type="cellIs" priority="7" dxfId="28" operator="lessThan">
      <formula>0</formula>
    </cfRule>
  </conditionalFormatting>
  <conditionalFormatting sqref="C28:C29">
    <cfRule type="cellIs" priority="6" dxfId="28" operator="lessThan">
      <formula>0</formula>
    </cfRule>
  </conditionalFormatting>
  <conditionalFormatting sqref="G21">
    <cfRule type="cellIs" priority="5" dxfId="28" operator="lessThan">
      <formula>0</formula>
    </cfRule>
  </conditionalFormatting>
  <conditionalFormatting sqref="AQ46:AQ49">
    <cfRule type="cellIs" priority="4" dxfId="28" operator="lessThan">
      <formula>0</formula>
    </cfRule>
  </conditionalFormatting>
  <conditionalFormatting sqref="AQ46:AS50">
    <cfRule type="cellIs" priority="3" dxfId="28" operator="lessThan">
      <formula>0</formula>
    </cfRule>
  </conditionalFormatting>
  <conditionalFormatting sqref="A56:C56">
    <cfRule type="cellIs" priority="2" dxfId="28" operator="lessThan">
      <formula>0</formula>
    </cfRule>
  </conditionalFormatting>
  <conditionalFormatting sqref="A56:C56">
    <cfRule type="cellIs" priority="1" dxfId="28" operator="lessThan">
      <formula>0</formula>
    </cfRule>
  </conditionalFormatting>
  <dataValidations count="8">
    <dataValidation type="list" allowBlank="1" showInputMessage="1" showErrorMessage="1" sqref="C22">
      <formula1>"-10, -9, -8, -7, -6, -5, -4, -3, -2, -1, 0, 1, 2, 3, 4, 5, 6, 7, 8, 9, 10"</formula1>
    </dataValidation>
    <dataValidation type="list" allowBlank="1" showInputMessage="1" showErrorMessage="1" sqref="C45 C23:C24">
      <formula1>"YES, NO"</formula1>
    </dataValidation>
    <dataValidation type="list" allowBlank="1" showInputMessage="1" showErrorMessage="1" sqref="C34">
      <formula1>INDIRECT($C$33)</formula1>
    </dataValidation>
    <dataValidation type="list" allowBlank="1" showInputMessage="1" showErrorMessage="1" sqref="C33">
      <formula1>$AP$7:$AR$7</formula1>
    </dataValidation>
    <dataValidation type="list" allowBlank="1" showInputMessage="1" showErrorMessage="1" sqref="C32">
      <formula1>"1, 2, 3, 4, 5, 6, 7, 8, 9, 10, 11, 12, 13, 14, 15,16,17,18,19,20,21,22,23,24,25,26,27,28,29,30"</formula1>
    </dataValidation>
    <dataValidation type="list" allowBlank="1" showInputMessage="1" showErrorMessage="1" sqref="D26">
      <formula1>"1, 2, 3, 4, 5"</formula1>
    </dataValidation>
    <dataValidation type="list" allowBlank="1" showInputMessage="1" showErrorMessage="1" sqref="M61">
      <formula1>$O$61:$O$63</formula1>
    </dataValidation>
    <dataValidation type="list" allowBlank="1" showInputMessage="1" showErrorMessage="1" sqref="C14">
      <formula1>"0,15,25"</formula1>
    </dataValidation>
  </dataValidations>
  <printOptions/>
  <pageMargins left="0.7" right="0.7" top="0.75" bottom="0.75" header="0.3" footer="0.3"/>
  <pageSetup horizontalDpi="600" verticalDpi="600" orientation="portrait" r:id="rId1"/>
  <headerFooter>
    <oddFooter>&amp;RPrepared by Julia Popova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U60"/>
  <sheetViews>
    <sheetView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2.8515625" style="4" customWidth="1"/>
    <col min="2" max="2" width="20.57421875" style="4" customWidth="1"/>
    <col min="3" max="3" width="14.57421875" style="4" bestFit="1" customWidth="1"/>
    <col min="4" max="4" width="15.28125" style="4" bestFit="1" customWidth="1"/>
    <col min="5" max="5" width="2.8515625" style="4" customWidth="1"/>
    <col min="6" max="6" width="7.28125" style="4" bestFit="1" customWidth="1"/>
    <col min="7" max="7" width="10.140625" style="4" bestFit="1" customWidth="1"/>
    <col min="8" max="8" width="15.28125" style="4" bestFit="1" customWidth="1"/>
    <col min="9" max="9" width="13.28125" style="4" bestFit="1" customWidth="1"/>
    <col min="10" max="10" width="21.7109375" style="4" bestFit="1" customWidth="1"/>
    <col min="11" max="11" width="2.8515625" style="4" customWidth="1"/>
    <col min="12" max="12" width="9.00390625" style="4" bestFit="1" customWidth="1"/>
    <col min="13" max="13" width="12.7109375" style="4" customWidth="1"/>
    <col min="14" max="14" width="11.7109375" style="4" bestFit="1" customWidth="1"/>
    <col min="15" max="15" width="12.7109375" style="4" bestFit="1" customWidth="1"/>
    <col min="16" max="16" width="19.28125" style="4" bestFit="1" customWidth="1"/>
    <col min="17" max="17" width="2.8515625" style="4" customWidth="1"/>
    <col min="18" max="16384" width="9.140625" style="4" customWidth="1"/>
  </cols>
  <sheetData>
    <row r="1" ht="8.25" customHeight="1"/>
    <row r="2" spans="2:6" ht="21" thickBot="1">
      <c r="B2" s="12" t="s">
        <v>95</v>
      </c>
      <c r="C2" s="39"/>
      <c r="D2" s="26"/>
      <c r="F2" s="2"/>
    </row>
    <row r="3" spans="2:17" ht="18">
      <c r="B3" s="13"/>
      <c r="C3" s="40"/>
      <c r="D3" s="4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4.25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 t="s">
        <v>49</v>
      </c>
      <c r="O4" s="5" t="s">
        <v>50</v>
      </c>
      <c r="P4" s="5" t="s">
        <v>51</v>
      </c>
      <c r="Q4" s="14"/>
    </row>
    <row r="5" spans="2:17" ht="14.25">
      <c r="B5" s="8"/>
      <c r="C5" s="2"/>
      <c r="D5" s="2"/>
      <c r="E5" s="2"/>
      <c r="F5" s="2"/>
      <c r="G5" s="2"/>
      <c r="H5" s="2"/>
      <c r="I5" s="2"/>
      <c r="J5" s="2"/>
      <c r="K5" s="2"/>
      <c r="L5" s="5" t="s">
        <v>52</v>
      </c>
      <c r="M5" s="15"/>
      <c r="N5" s="16">
        <f>C14</f>
        <v>18355.183333333334</v>
      </c>
      <c r="O5" s="17">
        <f>D14</f>
        <v>3.8249999999999997</v>
      </c>
      <c r="P5" s="18">
        <f>N5*O5*1000*6</f>
        <v>421251457.5</v>
      </c>
      <c r="Q5" s="14"/>
    </row>
    <row r="6" spans="2:17" ht="14.25">
      <c r="B6" s="8"/>
      <c r="C6" s="2"/>
      <c r="D6" s="2"/>
      <c r="E6" s="2"/>
      <c r="F6" s="2"/>
      <c r="G6" s="2"/>
      <c r="H6" s="2"/>
      <c r="I6" s="2"/>
      <c r="J6" s="2"/>
      <c r="K6" s="2"/>
      <c r="L6" s="19" t="s">
        <v>53</v>
      </c>
      <c r="M6" s="3"/>
      <c r="N6" s="123">
        <f>I14</f>
        <v>18548.91641490433</v>
      </c>
      <c r="O6" s="124">
        <f>J14</f>
        <v>0.9</v>
      </c>
      <c r="P6" s="18">
        <f>N6*O6*1000*6</f>
        <v>100164148.64048338</v>
      </c>
      <c r="Q6" s="14"/>
    </row>
    <row r="7" spans="2:17" ht="14.25">
      <c r="B7" s="8"/>
      <c r="C7" s="5" t="s">
        <v>49</v>
      </c>
      <c r="D7" s="5" t="s">
        <v>81</v>
      </c>
      <c r="E7" s="2"/>
      <c r="F7" s="2"/>
      <c r="G7" s="5" t="s">
        <v>49</v>
      </c>
      <c r="H7" s="5" t="s">
        <v>81</v>
      </c>
      <c r="I7" s="20" t="s">
        <v>60</v>
      </c>
      <c r="J7" s="5" t="s">
        <v>84</v>
      </c>
      <c r="K7" s="2"/>
      <c r="L7" s="2"/>
      <c r="M7" s="2"/>
      <c r="N7" s="21"/>
      <c r="O7" s="22"/>
      <c r="P7" s="23">
        <f>SUM(P5:P6)</f>
        <v>521415606.1404834</v>
      </c>
      <c r="Q7" s="14"/>
    </row>
    <row r="8" spans="2:17" ht="14.25">
      <c r="B8" s="24">
        <v>42125</v>
      </c>
      <c r="C8" s="25">
        <v>18551.8</v>
      </c>
      <c r="D8" s="26">
        <v>4.07</v>
      </c>
      <c r="E8" s="2"/>
      <c r="F8" s="27">
        <v>42309</v>
      </c>
      <c r="G8" s="42">
        <v>18778</v>
      </c>
      <c r="H8" s="43">
        <v>0.46</v>
      </c>
      <c r="I8" s="2"/>
      <c r="J8" s="26"/>
      <c r="K8" s="2"/>
      <c r="L8" s="2"/>
      <c r="M8" s="2"/>
      <c r="N8" s="2"/>
      <c r="O8" s="2"/>
      <c r="P8" s="1"/>
      <c r="Q8" s="14"/>
    </row>
    <row r="9" spans="2:17" ht="14.25">
      <c r="B9" s="24">
        <v>42156</v>
      </c>
      <c r="C9" s="25">
        <v>18137.8</v>
      </c>
      <c r="D9" s="26">
        <v>4.88</v>
      </c>
      <c r="E9" s="2"/>
      <c r="F9" s="27">
        <v>42339</v>
      </c>
      <c r="G9" s="42">
        <v>18439.6</v>
      </c>
      <c r="H9" s="43">
        <v>1.28</v>
      </c>
      <c r="I9" s="44"/>
      <c r="J9" s="45"/>
      <c r="K9" s="2"/>
      <c r="L9" s="2"/>
      <c r="M9" s="615" t="s">
        <v>1</v>
      </c>
      <c r="N9" s="615"/>
      <c r="O9" s="28">
        <f>(O6+O5)*6*1000</f>
        <v>28349.999999999996</v>
      </c>
      <c r="P9" s="2"/>
      <c r="Q9" s="14"/>
    </row>
    <row r="10" spans="2:17" ht="14.25">
      <c r="B10" s="24">
        <v>42186</v>
      </c>
      <c r="C10" s="25">
        <v>18180.7</v>
      </c>
      <c r="D10" s="26">
        <v>3.98</v>
      </c>
      <c r="E10" s="2"/>
      <c r="F10" s="27">
        <v>42370</v>
      </c>
      <c r="G10" s="42">
        <v>18322.6</v>
      </c>
      <c r="H10" s="43">
        <v>1.37</v>
      </c>
      <c r="I10" s="47">
        <f>$G$10+(J10-$H$10)/$N$12</f>
        <v>18201.754078549846</v>
      </c>
      <c r="J10" s="145">
        <v>1.65</v>
      </c>
      <c r="K10" s="2"/>
      <c r="L10" s="2"/>
      <c r="M10" s="29"/>
      <c r="N10" s="29"/>
      <c r="O10" s="28"/>
      <c r="P10" s="2"/>
      <c r="Q10" s="14"/>
    </row>
    <row r="11" spans="2:17" ht="14.25">
      <c r="B11" s="24">
        <v>42217</v>
      </c>
      <c r="C11" s="25">
        <v>18349.4</v>
      </c>
      <c r="D11" s="26">
        <v>3.58</v>
      </c>
      <c r="E11" s="2"/>
      <c r="F11" s="27">
        <v>42401</v>
      </c>
      <c r="G11" s="46" t="s">
        <v>61</v>
      </c>
      <c r="H11" s="46" t="s">
        <v>61</v>
      </c>
      <c r="I11" s="47">
        <f>$G$10+(J11-$H$10)/$N$12</f>
        <v>18335.54777729823</v>
      </c>
      <c r="J11" s="48">
        <v>1.34</v>
      </c>
      <c r="K11" s="2"/>
      <c r="L11" s="30" t="s">
        <v>54</v>
      </c>
      <c r="M11" s="30"/>
      <c r="N11" s="30">
        <v>100</v>
      </c>
      <c r="O11" s="31" t="s">
        <v>55</v>
      </c>
      <c r="P11" s="2"/>
      <c r="Q11" s="14"/>
    </row>
    <row r="12" spans="2:17" ht="14.25">
      <c r="B12" s="24">
        <v>42248</v>
      </c>
      <c r="C12" s="25">
        <v>18337.3</v>
      </c>
      <c r="D12" s="26">
        <v>3.48</v>
      </c>
      <c r="E12" s="2"/>
      <c r="F12" s="27">
        <v>42430</v>
      </c>
      <c r="G12" s="46" t="s">
        <v>61</v>
      </c>
      <c r="H12" s="46" t="s">
        <v>61</v>
      </c>
      <c r="I12" s="47">
        <f>$G$10+(J12-$H$10)/$N$12</f>
        <v>18698.08554164868</v>
      </c>
      <c r="J12" s="48">
        <v>0.5</v>
      </c>
      <c r="K12" s="2"/>
      <c r="L12" s="30" t="s">
        <v>56</v>
      </c>
      <c r="M12" s="30"/>
      <c r="N12" s="32">
        <v>-0.002317</v>
      </c>
      <c r="O12" s="31" t="s">
        <v>57</v>
      </c>
      <c r="P12" s="2"/>
      <c r="Q12" s="14"/>
    </row>
    <row r="13" spans="2:17" ht="14.25">
      <c r="B13" s="24">
        <v>42278</v>
      </c>
      <c r="C13" s="25">
        <v>18574.1</v>
      </c>
      <c r="D13" s="26">
        <v>2.96</v>
      </c>
      <c r="E13" s="2"/>
      <c r="F13" s="27">
        <v>42461</v>
      </c>
      <c r="G13" s="46" t="s">
        <v>61</v>
      </c>
      <c r="H13" s="46" t="s">
        <v>61</v>
      </c>
      <c r="I13" s="47">
        <f>$G$10+(J13-$H$10)/$N$12</f>
        <v>18719.665170479067</v>
      </c>
      <c r="J13" s="48">
        <v>0.45</v>
      </c>
      <c r="K13" s="2"/>
      <c r="L13" s="2"/>
      <c r="M13" s="2"/>
      <c r="N13" s="2"/>
      <c r="O13" s="2"/>
      <c r="P13" s="2"/>
      <c r="Q13" s="14"/>
    </row>
    <row r="14" spans="2:17" ht="14.25">
      <c r="B14" s="33" t="s">
        <v>58</v>
      </c>
      <c r="C14" s="34">
        <f>AVERAGE(C8:C13)</f>
        <v>18355.183333333334</v>
      </c>
      <c r="D14" s="35">
        <f>AVERAGE(D8:D13)</f>
        <v>3.8249999999999997</v>
      </c>
      <c r="E14" s="2"/>
      <c r="F14" s="2"/>
      <c r="G14" s="2"/>
      <c r="H14" s="36" t="s">
        <v>58</v>
      </c>
      <c r="I14" s="34">
        <f>AVERAGE(I11:I13,G8:G10)</f>
        <v>18548.91641490433</v>
      </c>
      <c r="J14" s="35">
        <f>AVERAGE(J11:J13,H8:H10)</f>
        <v>0.9</v>
      </c>
      <c r="K14" s="2"/>
      <c r="L14" s="2"/>
      <c r="M14" s="2"/>
      <c r="N14" s="5" t="s">
        <v>49</v>
      </c>
      <c r="O14" s="5" t="s">
        <v>50</v>
      </c>
      <c r="P14" s="5" t="s">
        <v>51</v>
      </c>
      <c r="Q14" s="14"/>
    </row>
    <row r="15" spans="2:17" ht="14.25">
      <c r="B15" s="8"/>
      <c r="C15" s="2"/>
      <c r="D15" s="2"/>
      <c r="E15" s="2"/>
      <c r="F15" s="2"/>
      <c r="G15" s="2"/>
      <c r="H15" s="2"/>
      <c r="I15" s="2"/>
      <c r="J15" s="2"/>
      <c r="K15" s="2"/>
      <c r="L15" s="5" t="s">
        <v>52</v>
      </c>
      <c r="M15" s="15"/>
      <c r="N15" s="16">
        <f>N11+N5</f>
        <v>18455.183333333334</v>
      </c>
      <c r="O15" s="17">
        <f>O5+N11*N12</f>
        <v>3.5932999999999997</v>
      </c>
      <c r="P15" s="18">
        <f>N15*O15*1000*6</f>
        <v>397890061.63</v>
      </c>
      <c r="Q15" s="14"/>
    </row>
    <row r="16" spans="2:17" ht="14.25">
      <c r="B16" s="8"/>
      <c r="C16" s="2"/>
      <c r="D16" s="2"/>
      <c r="E16" s="2"/>
      <c r="F16" s="2"/>
      <c r="G16" s="2"/>
      <c r="H16" s="2"/>
      <c r="I16" s="2"/>
      <c r="J16" s="2"/>
      <c r="K16" s="2"/>
      <c r="L16" s="19" t="s">
        <v>53</v>
      </c>
      <c r="M16" s="3"/>
      <c r="N16" s="16">
        <f>N11+N6</f>
        <v>18648.91641490433</v>
      </c>
      <c r="O16" s="17">
        <f>O6+N11*N12</f>
        <v>0.6683</v>
      </c>
      <c r="P16" s="18">
        <f>N16*O16*1000*6</f>
        <v>74778425.04048339</v>
      </c>
      <c r="Q16" s="14"/>
    </row>
    <row r="17" spans="2:17" ht="14.25"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7"/>
      <c r="O17" s="22"/>
      <c r="P17" s="23">
        <f>SUM(P15:P16)</f>
        <v>472668486.67048335</v>
      </c>
      <c r="Q17" s="14"/>
    </row>
    <row r="18" spans="2:17" ht="14.25">
      <c r="B18" s="8"/>
      <c r="C18" s="617" t="s">
        <v>62</v>
      </c>
      <c r="D18" s="617"/>
      <c r="E18" s="617"/>
      <c r="F18" s="617"/>
      <c r="G18" s="617"/>
      <c r="H18" s="617"/>
      <c r="I18" s="617"/>
      <c r="J18" s="617"/>
      <c r="K18" s="617"/>
      <c r="L18" s="617"/>
      <c r="M18" s="2"/>
      <c r="N18" s="2"/>
      <c r="O18" s="2"/>
      <c r="P18" s="2"/>
      <c r="Q18" s="14"/>
    </row>
    <row r="19" spans="2:17" ht="14.25">
      <c r="B19" s="8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2"/>
      <c r="N19" s="615" t="s">
        <v>59</v>
      </c>
      <c r="O19" s="615"/>
      <c r="P19" s="38">
        <f>P17-P7</f>
        <v>-48747119.47000003</v>
      </c>
      <c r="Q19" s="14"/>
    </row>
    <row r="20" spans="2:17" ht="15" thickBot="1">
      <c r="B20" s="9"/>
      <c r="C20" s="118" t="s">
        <v>129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</row>
    <row r="21" spans="2:17" ht="15" thickBo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8">
      <c r="B22" s="13"/>
      <c r="C22" s="40"/>
      <c r="D22" s="4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2:17" ht="14.25"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19" t="s">
        <v>72</v>
      </c>
      <c r="O23" s="5" t="s">
        <v>50</v>
      </c>
      <c r="P23" s="119" t="s">
        <v>131</v>
      </c>
      <c r="Q23" s="14"/>
    </row>
    <row r="24" spans="2:17" ht="14.25">
      <c r="B24" s="8"/>
      <c r="C24" s="2"/>
      <c r="D24" s="2"/>
      <c r="E24" s="2"/>
      <c r="F24" s="2"/>
      <c r="G24" s="2"/>
      <c r="H24" s="2"/>
      <c r="I24" s="2"/>
      <c r="J24" s="2"/>
      <c r="K24" s="2"/>
      <c r="L24" s="5" t="s">
        <v>52</v>
      </c>
      <c r="M24" s="15"/>
      <c r="N24" s="16">
        <f>C33</f>
        <v>4900.999999999999</v>
      </c>
      <c r="O24" s="17">
        <f>D33</f>
        <v>9.095</v>
      </c>
      <c r="P24" s="18">
        <f>N24*O24*1000*6</f>
        <v>267447569.99999994</v>
      </c>
      <c r="Q24" s="14"/>
    </row>
    <row r="25" spans="2:17" ht="14.25">
      <c r="B25" s="8"/>
      <c r="C25" s="2"/>
      <c r="D25" s="2"/>
      <c r="E25" s="2"/>
      <c r="F25" s="2"/>
      <c r="G25" s="2"/>
      <c r="H25" s="2"/>
      <c r="I25" s="2"/>
      <c r="J25" s="2"/>
      <c r="K25" s="2"/>
      <c r="L25" s="19" t="s">
        <v>53</v>
      </c>
      <c r="M25" s="3"/>
      <c r="N25" s="123">
        <f>I33</f>
        <v>5010.389523738206</v>
      </c>
      <c r="O25" s="124">
        <f>J33</f>
        <v>3.2900000000000005</v>
      </c>
      <c r="P25" s="18">
        <f>N25*O25*1000*6</f>
        <v>98905089.19859222</v>
      </c>
      <c r="Q25" s="14"/>
    </row>
    <row r="26" spans="2:17" ht="14.25">
      <c r="B26" s="8"/>
      <c r="C26" s="5" t="s">
        <v>72</v>
      </c>
      <c r="D26" s="5" t="s">
        <v>82</v>
      </c>
      <c r="E26" s="2"/>
      <c r="F26" s="2"/>
      <c r="G26" s="5" t="s">
        <v>72</v>
      </c>
      <c r="H26" s="5" t="s">
        <v>82</v>
      </c>
      <c r="I26" s="20" t="s">
        <v>60</v>
      </c>
      <c r="J26" s="5" t="s">
        <v>85</v>
      </c>
      <c r="K26" s="2"/>
      <c r="L26" s="2"/>
      <c r="M26" s="2"/>
      <c r="N26" s="21"/>
      <c r="O26" s="22"/>
      <c r="P26" s="23">
        <f>SUM(P24:P25)</f>
        <v>366352659.1985922</v>
      </c>
      <c r="Q26" s="14"/>
    </row>
    <row r="27" spans="2:17" ht="14.25">
      <c r="B27" s="24">
        <v>42125</v>
      </c>
      <c r="C27" s="42">
        <v>4664.6</v>
      </c>
      <c r="D27" s="48">
        <v>10.93</v>
      </c>
      <c r="E27" s="2"/>
      <c r="F27" s="27">
        <v>42309</v>
      </c>
      <c r="G27" s="42">
        <v>5011.4</v>
      </c>
      <c r="H27" s="43">
        <v>3.46</v>
      </c>
      <c r="I27" s="2"/>
      <c r="J27" s="48"/>
      <c r="K27" s="2"/>
      <c r="L27" s="2"/>
      <c r="M27" s="2"/>
      <c r="N27" s="2"/>
      <c r="O27" s="2"/>
      <c r="P27" s="1"/>
      <c r="Q27" s="14"/>
    </row>
    <row r="28" spans="2:17" ht="14.25">
      <c r="B28" s="24">
        <v>42156</v>
      </c>
      <c r="C28" s="42">
        <v>4670.5</v>
      </c>
      <c r="D28" s="48">
        <v>10.56</v>
      </c>
      <c r="E28" s="2"/>
      <c r="F28" s="27">
        <v>42339</v>
      </c>
      <c r="G28" s="42">
        <v>5003.299999999999</v>
      </c>
      <c r="H28" s="43">
        <v>3.48</v>
      </c>
      <c r="I28" s="44"/>
      <c r="J28" s="45"/>
      <c r="K28" s="2"/>
      <c r="L28" s="2"/>
      <c r="M28" s="615" t="s">
        <v>1</v>
      </c>
      <c r="N28" s="615"/>
      <c r="O28" s="28">
        <f>(O25+O24)*6*1000</f>
        <v>74310</v>
      </c>
      <c r="P28" s="2"/>
      <c r="Q28" s="14"/>
    </row>
    <row r="29" spans="2:17" ht="14.25">
      <c r="B29" s="24">
        <v>42186</v>
      </c>
      <c r="C29" s="42">
        <v>5007.4</v>
      </c>
      <c r="D29" s="48">
        <v>8.36</v>
      </c>
      <c r="E29" s="2"/>
      <c r="F29" s="27">
        <v>42370</v>
      </c>
      <c r="G29" s="42">
        <v>5017.9</v>
      </c>
      <c r="H29" s="43">
        <v>3.16</v>
      </c>
      <c r="I29" s="44">
        <f>$G$29+(J29-$H$29)/$N$31</f>
        <v>4975.96499925116</v>
      </c>
      <c r="J29" s="145">
        <v>3.44</v>
      </c>
      <c r="K29" s="2"/>
      <c r="L29" s="2"/>
      <c r="M29" s="49"/>
      <c r="N29" s="49"/>
      <c r="O29" s="28"/>
      <c r="P29" s="2"/>
      <c r="Q29" s="14"/>
    </row>
    <row r="30" spans="2:17" ht="14.25">
      <c r="B30" s="24">
        <v>42217</v>
      </c>
      <c r="C30" s="42">
        <v>5018.299999999999</v>
      </c>
      <c r="D30" s="48">
        <v>8.32</v>
      </c>
      <c r="E30" s="2"/>
      <c r="F30" s="27">
        <v>42401</v>
      </c>
      <c r="G30" s="46" t="s">
        <v>61</v>
      </c>
      <c r="H30" s="46" t="s">
        <v>61</v>
      </c>
      <c r="I30" s="44">
        <f>$G$29+(J30-$H$29)/$N$31</f>
        <v>5011.909285607308</v>
      </c>
      <c r="J30" s="88">
        <v>3.2</v>
      </c>
      <c r="K30" s="2"/>
      <c r="L30" s="30" t="s">
        <v>54</v>
      </c>
      <c r="M30" s="30"/>
      <c r="N30" s="30">
        <v>100</v>
      </c>
      <c r="O30" s="31" t="s">
        <v>55</v>
      </c>
      <c r="P30" s="2"/>
      <c r="Q30" s="14"/>
    </row>
    <row r="31" spans="2:17" ht="14.25">
      <c r="B31" s="24">
        <v>42248</v>
      </c>
      <c r="C31" s="42">
        <v>5021.5999999999985</v>
      </c>
      <c r="D31" s="48">
        <v>8.27</v>
      </c>
      <c r="E31" s="2"/>
      <c r="F31" s="27">
        <v>42430</v>
      </c>
      <c r="G31" s="46" t="s">
        <v>61</v>
      </c>
      <c r="H31" s="46" t="s">
        <v>61</v>
      </c>
      <c r="I31" s="44">
        <f>$G$29+(J31-$H$29)/$N$31</f>
        <v>5011.909285607308</v>
      </c>
      <c r="J31" s="88">
        <v>3.2</v>
      </c>
      <c r="K31" s="2"/>
      <c r="L31" s="30" t="s">
        <v>56</v>
      </c>
      <c r="M31" s="30"/>
      <c r="N31" s="32">
        <v>-0.006677</v>
      </c>
      <c r="O31" s="31" t="s">
        <v>57</v>
      </c>
      <c r="P31" s="2"/>
      <c r="Q31" s="14"/>
    </row>
    <row r="32" spans="2:17" ht="14.25">
      <c r="B32" s="24">
        <v>42278</v>
      </c>
      <c r="C32" s="42">
        <v>5023.5999999999985</v>
      </c>
      <c r="D32" s="48">
        <v>8.13</v>
      </c>
      <c r="E32" s="2"/>
      <c r="F32" s="27">
        <v>42461</v>
      </c>
      <c r="G32" s="46" t="s">
        <v>61</v>
      </c>
      <c r="H32" s="46" t="s">
        <v>61</v>
      </c>
      <c r="I32" s="44">
        <f>$G$29+(J32-$H$29)/$N$31</f>
        <v>5005.918571214617</v>
      </c>
      <c r="J32" s="88">
        <v>3.24</v>
      </c>
      <c r="K32" s="2"/>
      <c r="L32" s="2"/>
      <c r="M32" s="2"/>
      <c r="N32" s="2"/>
      <c r="O32" s="2"/>
      <c r="P32" s="2"/>
      <c r="Q32" s="14"/>
    </row>
    <row r="33" spans="2:17" ht="14.25">
      <c r="B33" s="33" t="s">
        <v>58</v>
      </c>
      <c r="C33" s="34">
        <f>AVERAGE(C27:C32)</f>
        <v>4900.999999999999</v>
      </c>
      <c r="D33" s="35">
        <f>AVERAGE(D27:D32)</f>
        <v>9.095</v>
      </c>
      <c r="E33" s="2"/>
      <c r="F33" s="2"/>
      <c r="G33" s="2"/>
      <c r="H33" s="36" t="s">
        <v>58</v>
      </c>
      <c r="I33" s="34">
        <f>AVERAGE(I30:I32,G27:G29)</f>
        <v>5010.389523738206</v>
      </c>
      <c r="J33" s="35">
        <f>AVERAGE(J30:J32,H27:H29)</f>
        <v>3.2900000000000005</v>
      </c>
      <c r="K33" s="2"/>
      <c r="L33" s="2"/>
      <c r="M33" s="2"/>
      <c r="N33" s="119" t="s">
        <v>72</v>
      </c>
      <c r="O33" s="5" t="s">
        <v>50</v>
      </c>
      <c r="P33" s="119" t="s">
        <v>131</v>
      </c>
      <c r="Q33" s="14"/>
    </row>
    <row r="34" spans="2:17" ht="14.25">
      <c r="B34" s="8"/>
      <c r="C34" s="2"/>
      <c r="D34" s="2"/>
      <c r="E34" s="2"/>
      <c r="F34" s="2"/>
      <c r="G34" s="2"/>
      <c r="H34" s="2"/>
      <c r="I34" s="2"/>
      <c r="J34" s="2"/>
      <c r="K34" s="2"/>
      <c r="L34" s="5" t="s">
        <v>52</v>
      </c>
      <c r="M34" s="15"/>
      <c r="N34" s="16">
        <f>N30+N24</f>
        <v>5000.999999999999</v>
      </c>
      <c r="O34" s="17">
        <f>O24+N30*N31</f>
        <v>8.4273</v>
      </c>
      <c r="P34" s="18">
        <f>N34*O34*1000*6</f>
        <v>252869563.79999998</v>
      </c>
      <c r="Q34" s="14"/>
    </row>
    <row r="35" spans="2:19" ht="14.25">
      <c r="B35" s="8"/>
      <c r="C35" s="2"/>
      <c r="D35" s="2"/>
      <c r="E35" s="2"/>
      <c r="F35" s="2"/>
      <c r="G35" s="2"/>
      <c r="H35" s="2"/>
      <c r="I35" s="2"/>
      <c r="J35" s="2"/>
      <c r="K35" s="2"/>
      <c r="L35" s="19" t="s">
        <v>53</v>
      </c>
      <c r="M35" s="3"/>
      <c r="N35" s="123">
        <f>N30+N25</f>
        <v>5110.389523738206</v>
      </c>
      <c r="O35" s="124">
        <f>O25+N30*N31</f>
        <v>2.6223000000000005</v>
      </c>
      <c r="P35" s="18">
        <f>N35*O35*1000*6</f>
        <v>80405846.6885922</v>
      </c>
      <c r="Q35" s="14"/>
      <c r="S35" s="122"/>
    </row>
    <row r="36" spans="2:17" ht="14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7"/>
      <c r="O36" s="22"/>
      <c r="P36" s="23">
        <f>SUM(P34:P35)</f>
        <v>333275410.48859215</v>
      </c>
      <c r="Q36" s="14"/>
    </row>
    <row r="37" spans="2:17" ht="14.25">
      <c r="B37" s="8"/>
      <c r="C37" s="616" t="s">
        <v>96</v>
      </c>
      <c r="D37" s="616"/>
      <c r="E37" s="616"/>
      <c r="F37" s="616"/>
      <c r="G37" s="616"/>
      <c r="H37" s="616"/>
      <c r="I37" s="616"/>
      <c r="J37" s="616"/>
      <c r="K37" s="616"/>
      <c r="L37" s="616"/>
      <c r="M37" s="2"/>
      <c r="N37" s="2"/>
      <c r="O37" s="2"/>
      <c r="P37" s="2"/>
      <c r="Q37" s="14"/>
    </row>
    <row r="38" spans="2:17" ht="14.25">
      <c r="B38" s="8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2"/>
      <c r="N38" s="615" t="s">
        <v>59</v>
      </c>
      <c r="O38" s="615"/>
      <c r="P38" s="38">
        <f>P36-P26</f>
        <v>-33077248.71000004</v>
      </c>
      <c r="Q38" s="14"/>
    </row>
    <row r="39" spans="2:17" ht="15" thickBot="1">
      <c r="B39" s="9"/>
      <c r="C39" s="118" t="s">
        <v>129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  <row r="40" spans="2:17" ht="1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8">
      <c r="B41" s="13"/>
      <c r="C41" s="40"/>
      <c r="D41" s="4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</row>
    <row r="42" spans="2:19" ht="14.25"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19" t="s">
        <v>73</v>
      </c>
      <c r="O42" s="5" t="s">
        <v>50</v>
      </c>
      <c r="P42" s="119" t="s">
        <v>130</v>
      </c>
      <c r="Q42" s="14"/>
      <c r="S42" s="42"/>
    </row>
    <row r="43" spans="2:19" ht="14.25">
      <c r="B43" s="8"/>
      <c r="C43" s="2"/>
      <c r="D43" s="2"/>
      <c r="E43" s="2"/>
      <c r="F43" s="2"/>
      <c r="G43" s="2"/>
      <c r="H43" s="2"/>
      <c r="I43" s="2"/>
      <c r="J43" s="2"/>
      <c r="K43" s="2"/>
      <c r="L43" s="5" t="s">
        <v>52</v>
      </c>
      <c r="M43" s="15"/>
      <c r="N43" s="16">
        <f>C52</f>
        <v>9679.616666666669</v>
      </c>
      <c r="O43" s="17">
        <f>D52</f>
        <v>15.383333333333335</v>
      </c>
      <c r="P43" s="18">
        <f>N43*O43*1000*6</f>
        <v>893428618.3333336</v>
      </c>
      <c r="Q43" s="14"/>
      <c r="S43" s="42"/>
    </row>
    <row r="44" spans="2:17" ht="14.25">
      <c r="B44" s="8"/>
      <c r="C44" s="2"/>
      <c r="D44" s="2"/>
      <c r="E44" s="2"/>
      <c r="F44" s="2"/>
      <c r="G44" s="2"/>
      <c r="H44" s="2"/>
      <c r="I44" s="2"/>
      <c r="J44" s="2"/>
      <c r="K44" s="2"/>
      <c r="L44" s="19" t="s">
        <v>53</v>
      </c>
      <c r="M44" s="3"/>
      <c r="N44" s="123">
        <f>I52</f>
        <v>10055.601780254214</v>
      </c>
      <c r="O44" s="124">
        <f>J52</f>
        <v>6.14</v>
      </c>
      <c r="P44" s="18">
        <f>N44*O44*1000*6</f>
        <v>370448369.5845652</v>
      </c>
      <c r="Q44" s="14"/>
    </row>
    <row r="45" spans="2:17" ht="14.25">
      <c r="B45" s="8"/>
      <c r="C45" s="5" t="s">
        <v>73</v>
      </c>
      <c r="D45" s="5" t="s">
        <v>83</v>
      </c>
      <c r="E45" s="2"/>
      <c r="F45" s="2"/>
      <c r="G45" s="5" t="s">
        <v>73</v>
      </c>
      <c r="H45" s="5" t="s">
        <v>83</v>
      </c>
      <c r="I45" s="20" t="s">
        <v>60</v>
      </c>
      <c r="J45" s="5" t="s">
        <v>86</v>
      </c>
      <c r="K45" s="2"/>
      <c r="L45" s="2"/>
      <c r="M45" s="2"/>
      <c r="N45" s="21"/>
      <c r="O45" s="22"/>
      <c r="P45" s="23">
        <f>SUM(P43:P44)</f>
        <v>1263876987.917899</v>
      </c>
      <c r="Q45" s="14"/>
    </row>
    <row r="46" spans="2:17" ht="14.25">
      <c r="B46" s="24">
        <v>42125</v>
      </c>
      <c r="C46" s="47">
        <v>9625.300000000001</v>
      </c>
      <c r="D46" s="43">
        <v>16.04</v>
      </c>
      <c r="E46" s="2"/>
      <c r="F46" s="27">
        <v>42309</v>
      </c>
      <c r="G46" s="42">
        <v>10039</v>
      </c>
      <c r="H46" s="43">
        <v>6.36</v>
      </c>
      <c r="I46" s="2"/>
      <c r="J46" s="48"/>
      <c r="K46" s="2"/>
      <c r="L46" s="2"/>
      <c r="M46" s="2"/>
      <c r="N46" s="2"/>
      <c r="O46" s="2"/>
      <c r="P46" s="1"/>
      <c r="Q46" s="14"/>
    </row>
    <row r="47" spans="2:17" ht="14.25">
      <c r="B47" s="24">
        <v>42156</v>
      </c>
      <c r="C47" s="42">
        <v>9677.5</v>
      </c>
      <c r="D47" s="43">
        <v>15.41</v>
      </c>
      <c r="E47" s="2"/>
      <c r="F47" s="27">
        <v>42339</v>
      </c>
      <c r="G47" s="42">
        <v>10044.1</v>
      </c>
      <c r="H47" s="43">
        <v>6.29</v>
      </c>
      <c r="I47" s="44"/>
      <c r="J47" s="45"/>
      <c r="K47" s="2"/>
      <c r="L47" s="2"/>
      <c r="M47" s="615" t="s">
        <v>1</v>
      </c>
      <c r="N47" s="615"/>
      <c r="O47" s="28">
        <f>(O44+O43)*6*1000*1</f>
        <v>129139.99999999999</v>
      </c>
      <c r="P47" s="2"/>
      <c r="Q47" s="14"/>
    </row>
    <row r="48" spans="2:17" ht="14.25">
      <c r="B48" s="24">
        <v>42186</v>
      </c>
      <c r="C48" s="42">
        <v>9689.7</v>
      </c>
      <c r="D48" s="43">
        <v>15.26</v>
      </c>
      <c r="E48" s="2"/>
      <c r="F48" s="27">
        <v>42370</v>
      </c>
      <c r="G48" s="42">
        <v>10077.6</v>
      </c>
      <c r="H48" s="43">
        <v>5.85</v>
      </c>
      <c r="I48" s="44">
        <f>$G$48+(J48-$H$48)/$N$50</f>
        <v>10048.034387082102</v>
      </c>
      <c r="J48" s="145">
        <v>6.24</v>
      </c>
      <c r="K48" s="2"/>
      <c r="L48" s="2"/>
      <c r="M48" s="49"/>
      <c r="N48" s="49"/>
      <c r="O48" s="28"/>
      <c r="P48" s="2"/>
      <c r="Q48" s="14"/>
    </row>
    <row r="49" spans="2:17" ht="14.25">
      <c r="B49" s="24">
        <v>42217</v>
      </c>
      <c r="C49" s="42">
        <v>9685.2</v>
      </c>
      <c r="D49" s="43">
        <v>15.32</v>
      </c>
      <c r="E49" s="2"/>
      <c r="F49" s="27">
        <v>42401</v>
      </c>
      <c r="G49" s="46" t="s">
        <v>61</v>
      </c>
      <c r="H49" s="46" t="s">
        <v>61</v>
      </c>
      <c r="I49" s="44">
        <f>$G$48+(J49-$H$48)/$N$50</f>
        <v>10058.647684026988</v>
      </c>
      <c r="J49" s="48">
        <v>6.1</v>
      </c>
      <c r="K49" s="2"/>
      <c r="L49" s="30" t="s">
        <v>54</v>
      </c>
      <c r="M49" s="30"/>
      <c r="N49" s="30">
        <v>100</v>
      </c>
      <c r="O49" s="31" t="s">
        <v>55</v>
      </c>
      <c r="P49" s="2"/>
      <c r="Q49" s="14"/>
    </row>
    <row r="50" spans="2:21" ht="14.25">
      <c r="B50" s="24">
        <v>42248</v>
      </c>
      <c r="C50" s="42">
        <v>9689.7</v>
      </c>
      <c r="D50" s="43">
        <v>15.26</v>
      </c>
      <c r="E50" s="2"/>
      <c r="F50" s="27">
        <v>42430</v>
      </c>
      <c r="G50" s="46" t="s">
        <v>61</v>
      </c>
      <c r="H50" s="46" t="s">
        <v>61</v>
      </c>
      <c r="I50" s="44">
        <f>$G$48+(J50-$H$48)/$N$50</f>
        <v>10058.647684026988</v>
      </c>
      <c r="J50" s="48">
        <v>6.1</v>
      </c>
      <c r="K50" s="2"/>
      <c r="L50" s="30" t="s">
        <v>56</v>
      </c>
      <c r="M50" s="30"/>
      <c r="N50" s="32">
        <f>-0.013191*1</f>
        <v>-0.013191</v>
      </c>
      <c r="O50" s="31" t="s">
        <v>57</v>
      </c>
      <c r="P50" s="2"/>
      <c r="Q50" s="14"/>
      <c r="T50" s="91"/>
      <c r="U50" s="91"/>
    </row>
    <row r="51" spans="2:17" ht="14.25">
      <c r="B51" s="24">
        <v>42278</v>
      </c>
      <c r="C51" s="42">
        <v>9710.3</v>
      </c>
      <c r="D51" s="43">
        <v>15.01</v>
      </c>
      <c r="E51" s="2"/>
      <c r="F51" s="27">
        <v>42461</v>
      </c>
      <c r="G51" s="46" t="s">
        <v>61</v>
      </c>
      <c r="H51" s="46" t="s">
        <v>61</v>
      </c>
      <c r="I51" s="44">
        <f>$G$48+(J51-$H$48)/$N$50</f>
        <v>10055.615313471306</v>
      </c>
      <c r="J51" s="48">
        <v>6.14</v>
      </c>
      <c r="K51" s="2"/>
      <c r="L51" s="2"/>
      <c r="M51" s="2"/>
      <c r="N51" s="2"/>
      <c r="O51" s="2"/>
      <c r="P51" s="2"/>
      <c r="Q51" s="14"/>
    </row>
    <row r="52" spans="2:17" ht="14.25">
      <c r="B52" s="33" t="s">
        <v>58</v>
      </c>
      <c r="C52" s="34">
        <f>AVERAGE(C46:C51)</f>
        <v>9679.616666666669</v>
      </c>
      <c r="D52" s="35">
        <f>AVERAGE(D46:D51)</f>
        <v>15.383333333333335</v>
      </c>
      <c r="E52" s="2"/>
      <c r="F52" s="2"/>
      <c r="G52" s="2"/>
      <c r="H52" s="36" t="s">
        <v>58</v>
      </c>
      <c r="I52" s="34">
        <f>AVERAGE(I49:I51,G46:G48)</f>
        <v>10055.601780254214</v>
      </c>
      <c r="J52" s="35">
        <f>AVERAGE(J49:J51,H46:H48)</f>
        <v>6.14</v>
      </c>
      <c r="K52" s="2"/>
      <c r="L52" s="2"/>
      <c r="M52" s="2"/>
      <c r="N52" s="119" t="s">
        <v>73</v>
      </c>
      <c r="O52" s="5" t="s">
        <v>50</v>
      </c>
      <c r="P52" s="119" t="s">
        <v>130</v>
      </c>
      <c r="Q52" s="14"/>
    </row>
    <row r="53" spans="2:17" ht="14.25">
      <c r="B53" s="8"/>
      <c r="C53" s="2"/>
      <c r="D53" s="2"/>
      <c r="E53" s="2"/>
      <c r="F53" s="2"/>
      <c r="G53" s="2"/>
      <c r="H53" s="2"/>
      <c r="I53" s="2"/>
      <c r="J53" s="2"/>
      <c r="K53" s="2"/>
      <c r="L53" s="5" t="s">
        <v>52</v>
      </c>
      <c r="M53" s="15"/>
      <c r="N53" s="16">
        <f>N49+N43</f>
        <v>9779.616666666669</v>
      </c>
      <c r="O53" s="17">
        <f>O43+N49*N50</f>
        <v>14.064233333333334</v>
      </c>
      <c r="P53" s="18">
        <f>N53*O53*1000*6</f>
        <v>825256864.2633336</v>
      </c>
      <c r="Q53" s="14"/>
    </row>
    <row r="54" spans="2:17" ht="14.25">
      <c r="B54" s="8"/>
      <c r="C54" s="2"/>
      <c r="D54" s="2"/>
      <c r="E54" s="2"/>
      <c r="F54" s="2"/>
      <c r="G54" s="2"/>
      <c r="H54" s="2"/>
      <c r="I54" s="2"/>
      <c r="J54" s="2"/>
      <c r="K54" s="2"/>
      <c r="L54" s="19" t="s">
        <v>53</v>
      </c>
      <c r="M54" s="3"/>
      <c r="N54" s="123">
        <f>N49+N44</f>
        <v>10155.601780254214</v>
      </c>
      <c r="O54" s="124">
        <f>O44+N49*N50</f>
        <v>4.8209</v>
      </c>
      <c r="P54" s="18">
        <f>N54*O54*1000*6</f>
        <v>293754843.73456526</v>
      </c>
      <c r="Q54" s="14"/>
    </row>
    <row r="55" spans="2:17" ht="14.25"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7"/>
      <c r="O55" s="22"/>
      <c r="P55" s="23">
        <f>SUM(P53:P54)</f>
        <v>1119011707.9978988</v>
      </c>
      <c r="Q55" s="14"/>
    </row>
    <row r="56" spans="2:17" ht="14.25">
      <c r="B56" s="8"/>
      <c r="C56" s="616" t="s">
        <v>97</v>
      </c>
      <c r="D56" s="616"/>
      <c r="E56" s="616"/>
      <c r="F56" s="616"/>
      <c r="G56" s="616"/>
      <c r="H56" s="616"/>
      <c r="I56" s="616"/>
      <c r="J56" s="616"/>
      <c r="K56" s="616"/>
      <c r="L56" s="616"/>
      <c r="M56" s="2"/>
      <c r="N56" s="2"/>
      <c r="O56" s="2"/>
      <c r="P56" s="2"/>
      <c r="Q56" s="14"/>
    </row>
    <row r="57" spans="2:17" ht="14.25">
      <c r="B57" s="8"/>
      <c r="C57" s="616"/>
      <c r="D57" s="616"/>
      <c r="E57" s="616"/>
      <c r="F57" s="616"/>
      <c r="G57" s="616"/>
      <c r="H57" s="616"/>
      <c r="I57" s="616"/>
      <c r="J57" s="616"/>
      <c r="K57" s="616"/>
      <c r="L57" s="616"/>
      <c r="M57" s="2"/>
      <c r="N57" s="615" t="s">
        <v>59</v>
      </c>
      <c r="O57" s="615"/>
      <c r="P57" s="38">
        <f>P55-P45</f>
        <v>-144865279.92000008</v>
      </c>
      <c r="Q57" s="14"/>
    </row>
    <row r="58" spans="2:17" ht="15" thickBot="1">
      <c r="B58" s="9"/>
      <c r="C58" s="118" t="s">
        <v>129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</row>
    <row r="59" spans="2:17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sheetProtection/>
  <mergeCells count="9">
    <mergeCell ref="M47:N47"/>
    <mergeCell ref="C56:L57"/>
    <mergeCell ref="N57:O57"/>
    <mergeCell ref="M9:N9"/>
    <mergeCell ref="C18:L19"/>
    <mergeCell ref="N19:O19"/>
    <mergeCell ref="M28:N28"/>
    <mergeCell ref="C37:L38"/>
    <mergeCell ref="N38:O3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46"/>
  <sheetViews>
    <sheetView zoomScalePageLayoutView="0" workbookViewId="0" topLeftCell="A13">
      <selection activeCell="B48" sqref="B48"/>
    </sheetView>
  </sheetViews>
  <sheetFormatPr defaultColWidth="9.140625" defaultRowHeight="15"/>
  <cols>
    <col min="1" max="1" width="2.8515625" style="0" customWidth="1"/>
    <col min="2" max="2" width="21.7109375" style="0" customWidth="1"/>
    <col min="3" max="3" width="9.00390625" style="0" bestFit="1" customWidth="1"/>
    <col min="4" max="4" width="9.140625" style="0" bestFit="1" customWidth="1"/>
    <col min="5" max="7" width="8.140625" style="0" bestFit="1" customWidth="1"/>
    <col min="8" max="8" width="8.57421875" style="0" bestFit="1" customWidth="1"/>
    <col min="9" max="10" width="8.140625" style="0" bestFit="1" customWidth="1"/>
    <col min="11" max="12" width="7.8515625" style="0" bestFit="1" customWidth="1"/>
    <col min="13" max="32" width="6.8515625" style="0" bestFit="1" customWidth="1"/>
  </cols>
  <sheetData>
    <row r="1" spans="19:32" ht="14.25"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2:32" ht="15.75" thickBot="1">
      <c r="B2" s="100" t="s">
        <v>46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 s="90">
        <v>12</v>
      </c>
      <c r="O2" s="90">
        <v>13</v>
      </c>
      <c r="P2" s="90">
        <v>14</v>
      </c>
      <c r="Q2" s="90">
        <v>15</v>
      </c>
      <c r="R2" s="90">
        <v>16</v>
      </c>
      <c r="S2" s="90">
        <v>17</v>
      </c>
      <c r="T2" s="90">
        <v>18</v>
      </c>
      <c r="U2" s="90">
        <v>19</v>
      </c>
      <c r="V2" s="90">
        <v>20</v>
      </c>
      <c r="W2" s="90">
        <v>21</v>
      </c>
      <c r="X2" s="90">
        <v>22</v>
      </c>
      <c r="Y2" s="90">
        <v>23</v>
      </c>
      <c r="Z2" s="90">
        <v>24</v>
      </c>
      <c r="AA2" s="90">
        <v>25</v>
      </c>
      <c r="AB2" s="90">
        <v>26</v>
      </c>
      <c r="AC2" s="90">
        <v>27</v>
      </c>
      <c r="AD2" s="90">
        <v>28</v>
      </c>
      <c r="AE2" s="90">
        <v>29</v>
      </c>
      <c r="AF2" s="90">
        <v>30</v>
      </c>
    </row>
    <row r="3" spans="2:32" ht="14.25">
      <c r="B3">
        <v>1</v>
      </c>
      <c r="C3" s="110">
        <f aca="true" t="shared" si="0" ref="C3:C18">IF(C$2&gt;$B3,0,100%/$B3)</f>
        <v>1</v>
      </c>
      <c r="D3" s="113">
        <f aca="true" t="shared" si="1" ref="D3:AF11">IF(D$2&gt;$B3,0,100%/$B3)</f>
        <v>0</v>
      </c>
      <c r="E3" s="113">
        <f t="shared" si="1"/>
        <v>0</v>
      </c>
      <c r="F3" s="113">
        <f t="shared" si="1"/>
        <v>0</v>
      </c>
      <c r="G3" s="113">
        <f t="shared" si="1"/>
        <v>0</v>
      </c>
      <c r="H3" s="113">
        <f t="shared" si="1"/>
        <v>0</v>
      </c>
      <c r="I3" s="113">
        <f t="shared" si="1"/>
        <v>0</v>
      </c>
      <c r="J3" s="113">
        <f t="shared" si="1"/>
        <v>0</v>
      </c>
      <c r="K3" s="113">
        <f t="shared" si="1"/>
        <v>0</v>
      </c>
      <c r="L3" s="113">
        <f t="shared" si="1"/>
        <v>0</v>
      </c>
      <c r="M3" s="113">
        <f t="shared" si="1"/>
        <v>0</v>
      </c>
      <c r="N3" s="113">
        <f t="shared" si="1"/>
        <v>0</v>
      </c>
      <c r="O3" s="113">
        <f t="shared" si="1"/>
        <v>0</v>
      </c>
      <c r="P3" s="113">
        <f t="shared" si="1"/>
        <v>0</v>
      </c>
      <c r="Q3" s="113">
        <f t="shared" si="1"/>
        <v>0</v>
      </c>
      <c r="R3" s="113">
        <f t="shared" si="1"/>
        <v>0</v>
      </c>
      <c r="S3" s="113">
        <f t="shared" si="1"/>
        <v>0</v>
      </c>
      <c r="T3" s="113">
        <f t="shared" si="1"/>
        <v>0</v>
      </c>
      <c r="U3" s="113">
        <f t="shared" si="1"/>
        <v>0</v>
      </c>
      <c r="V3" s="113">
        <f t="shared" si="1"/>
        <v>0</v>
      </c>
      <c r="W3" s="113">
        <f t="shared" si="1"/>
        <v>0</v>
      </c>
      <c r="X3" s="113">
        <f t="shared" si="1"/>
        <v>0</v>
      </c>
      <c r="Y3" s="113">
        <f t="shared" si="1"/>
        <v>0</v>
      </c>
      <c r="Z3" s="113">
        <f t="shared" si="1"/>
        <v>0</v>
      </c>
      <c r="AA3" s="113">
        <f t="shared" si="1"/>
        <v>0</v>
      </c>
      <c r="AB3" s="113">
        <f t="shared" si="1"/>
        <v>0</v>
      </c>
      <c r="AC3" s="113">
        <f t="shared" si="1"/>
        <v>0</v>
      </c>
      <c r="AD3" s="113">
        <f t="shared" si="1"/>
        <v>0</v>
      </c>
      <c r="AE3" s="113">
        <f t="shared" si="1"/>
        <v>0</v>
      </c>
      <c r="AF3" s="114">
        <f t="shared" si="1"/>
        <v>0</v>
      </c>
    </row>
    <row r="4" spans="2:32" ht="14.25">
      <c r="B4">
        <v>2</v>
      </c>
      <c r="C4" s="109">
        <f t="shared" si="0"/>
        <v>0.5</v>
      </c>
      <c r="D4" s="112">
        <f t="shared" si="1"/>
        <v>0.5</v>
      </c>
      <c r="E4" s="112">
        <f t="shared" si="1"/>
        <v>0</v>
      </c>
      <c r="F4" s="112">
        <f t="shared" si="1"/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12">
        <f t="shared" si="1"/>
        <v>0</v>
      </c>
      <c r="P4" s="112">
        <f t="shared" si="1"/>
        <v>0</v>
      </c>
      <c r="Q4" s="112">
        <f t="shared" si="1"/>
        <v>0</v>
      </c>
      <c r="R4" s="112">
        <f t="shared" si="1"/>
        <v>0</v>
      </c>
      <c r="S4" s="112">
        <f t="shared" si="1"/>
        <v>0</v>
      </c>
      <c r="T4" s="112">
        <f t="shared" si="1"/>
        <v>0</v>
      </c>
      <c r="U4" s="112">
        <f t="shared" si="1"/>
        <v>0</v>
      </c>
      <c r="V4" s="112">
        <f t="shared" si="1"/>
        <v>0</v>
      </c>
      <c r="W4" s="112">
        <f t="shared" si="1"/>
        <v>0</v>
      </c>
      <c r="X4" s="112">
        <f t="shared" si="1"/>
        <v>0</v>
      </c>
      <c r="Y4" s="112">
        <f t="shared" si="1"/>
        <v>0</v>
      </c>
      <c r="Z4" s="112">
        <f t="shared" si="1"/>
        <v>0</v>
      </c>
      <c r="AA4" s="112">
        <f t="shared" si="1"/>
        <v>0</v>
      </c>
      <c r="AB4" s="112">
        <f t="shared" si="1"/>
        <v>0</v>
      </c>
      <c r="AC4" s="112">
        <f t="shared" si="1"/>
        <v>0</v>
      </c>
      <c r="AD4" s="112">
        <f t="shared" si="1"/>
        <v>0</v>
      </c>
      <c r="AE4" s="112">
        <f t="shared" si="1"/>
        <v>0</v>
      </c>
      <c r="AF4" s="108">
        <f t="shared" si="1"/>
        <v>0</v>
      </c>
    </row>
    <row r="5" spans="2:32" ht="14.25">
      <c r="B5">
        <v>3</v>
      </c>
      <c r="C5" s="109">
        <f t="shared" si="0"/>
        <v>0.3333333333333333</v>
      </c>
      <c r="D5" s="112">
        <f t="shared" si="1"/>
        <v>0.3333333333333333</v>
      </c>
      <c r="E5" s="112">
        <f t="shared" si="1"/>
        <v>0.3333333333333333</v>
      </c>
      <c r="F5" s="112">
        <f t="shared" si="1"/>
        <v>0</v>
      </c>
      <c r="G5" s="112">
        <f t="shared" si="1"/>
        <v>0</v>
      </c>
      <c r="H5" s="112">
        <f t="shared" si="1"/>
        <v>0</v>
      </c>
      <c r="I5" s="112">
        <f t="shared" si="1"/>
        <v>0</v>
      </c>
      <c r="J5" s="112">
        <f t="shared" si="1"/>
        <v>0</v>
      </c>
      <c r="K5" s="112">
        <f t="shared" si="1"/>
        <v>0</v>
      </c>
      <c r="L5" s="112">
        <f t="shared" si="1"/>
        <v>0</v>
      </c>
      <c r="M5" s="112">
        <f t="shared" si="1"/>
        <v>0</v>
      </c>
      <c r="N5" s="112">
        <f t="shared" si="1"/>
        <v>0</v>
      </c>
      <c r="O5" s="112">
        <f t="shared" si="1"/>
        <v>0</v>
      </c>
      <c r="P5" s="112">
        <f t="shared" si="1"/>
        <v>0</v>
      </c>
      <c r="Q5" s="112">
        <f t="shared" si="1"/>
        <v>0</v>
      </c>
      <c r="R5" s="112">
        <f t="shared" si="1"/>
        <v>0</v>
      </c>
      <c r="S5" s="112">
        <f t="shared" si="1"/>
        <v>0</v>
      </c>
      <c r="T5" s="112">
        <f t="shared" si="1"/>
        <v>0</v>
      </c>
      <c r="U5" s="112">
        <f t="shared" si="1"/>
        <v>0</v>
      </c>
      <c r="V5" s="112">
        <f t="shared" si="1"/>
        <v>0</v>
      </c>
      <c r="W5" s="112">
        <f t="shared" si="1"/>
        <v>0</v>
      </c>
      <c r="X5" s="112">
        <f t="shared" si="1"/>
        <v>0</v>
      </c>
      <c r="Y5" s="112">
        <f t="shared" si="1"/>
        <v>0</v>
      </c>
      <c r="Z5" s="112">
        <f t="shared" si="1"/>
        <v>0</v>
      </c>
      <c r="AA5" s="112">
        <f t="shared" si="1"/>
        <v>0</v>
      </c>
      <c r="AB5" s="112">
        <f t="shared" si="1"/>
        <v>0</v>
      </c>
      <c r="AC5" s="112">
        <f t="shared" si="1"/>
        <v>0</v>
      </c>
      <c r="AD5" s="112">
        <f t="shared" si="1"/>
        <v>0</v>
      </c>
      <c r="AE5" s="112">
        <f t="shared" si="1"/>
        <v>0</v>
      </c>
      <c r="AF5" s="108">
        <f t="shared" si="1"/>
        <v>0</v>
      </c>
    </row>
    <row r="6" spans="2:32" ht="14.25">
      <c r="B6">
        <v>4</v>
      </c>
      <c r="C6" s="109">
        <f t="shared" si="0"/>
        <v>0.25</v>
      </c>
      <c r="D6" s="112">
        <f t="shared" si="1"/>
        <v>0.25</v>
      </c>
      <c r="E6" s="112">
        <f t="shared" si="1"/>
        <v>0.25</v>
      </c>
      <c r="F6" s="112">
        <f t="shared" si="1"/>
        <v>0.25</v>
      </c>
      <c r="G6" s="112">
        <f t="shared" si="1"/>
        <v>0</v>
      </c>
      <c r="H6" s="112">
        <f t="shared" si="1"/>
        <v>0</v>
      </c>
      <c r="I6" s="112">
        <f t="shared" si="1"/>
        <v>0</v>
      </c>
      <c r="J6" s="112">
        <f t="shared" si="1"/>
        <v>0</v>
      </c>
      <c r="K6" s="112">
        <f t="shared" si="1"/>
        <v>0</v>
      </c>
      <c r="L6" s="112">
        <f t="shared" si="1"/>
        <v>0</v>
      </c>
      <c r="M6" s="112">
        <f t="shared" si="1"/>
        <v>0</v>
      </c>
      <c r="N6" s="112">
        <f t="shared" si="1"/>
        <v>0</v>
      </c>
      <c r="O6" s="112">
        <f t="shared" si="1"/>
        <v>0</v>
      </c>
      <c r="P6" s="112">
        <f t="shared" si="1"/>
        <v>0</v>
      </c>
      <c r="Q6" s="112">
        <f t="shared" si="1"/>
        <v>0</v>
      </c>
      <c r="R6" s="112">
        <f t="shared" si="1"/>
        <v>0</v>
      </c>
      <c r="S6" s="112">
        <f t="shared" si="1"/>
        <v>0</v>
      </c>
      <c r="T6" s="112">
        <f t="shared" si="1"/>
        <v>0</v>
      </c>
      <c r="U6" s="112">
        <f t="shared" si="1"/>
        <v>0</v>
      </c>
      <c r="V6" s="112">
        <f t="shared" si="1"/>
        <v>0</v>
      </c>
      <c r="W6" s="112">
        <f t="shared" si="1"/>
        <v>0</v>
      </c>
      <c r="X6" s="112">
        <f t="shared" si="1"/>
        <v>0</v>
      </c>
      <c r="Y6" s="112">
        <f t="shared" si="1"/>
        <v>0</v>
      </c>
      <c r="Z6" s="112">
        <f t="shared" si="1"/>
        <v>0</v>
      </c>
      <c r="AA6" s="112">
        <f t="shared" si="1"/>
        <v>0</v>
      </c>
      <c r="AB6" s="112">
        <f t="shared" si="1"/>
        <v>0</v>
      </c>
      <c r="AC6" s="112">
        <f t="shared" si="1"/>
        <v>0</v>
      </c>
      <c r="AD6" s="112">
        <f t="shared" si="1"/>
        <v>0</v>
      </c>
      <c r="AE6" s="112">
        <f t="shared" si="1"/>
        <v>0</v>
      </c>
      <c r="AF6" s="108">
        <f t="shared" si="1"/>
        <v>0</v>
      </c>
    </row>
    <row r="7" spans="2:32" ht="14.25">
      <c r="B7">
        <v>5</v>
      </c>
      <c r="C7" s="109">
        <f t="shared" si="0"/>
        <v>0.2</v>
      </c>
      <c r="D7" s="112">
        <f t="shared" si="1"/>
        <v>0.2</v>
      </c>
      <c r="E7" s="112">
        <f t="shared" si="1"/>
        <v>0.2</v>
      </c>
      <c r="F7" s="112">
        <f t="shared" si="1"/>
        <v>0.2</v>
      </c>
      <c r="G7" s="112">
        <f t="shared" si="1"/>
        <v>0.2</v>
      </c>
      <c r="H7" s="112">
        <f t="shared" si="1"/>
        <v>0</v>
      </c>
      <c r="I7" s="112">
        <f t="shared" si="1"/>
        <v>0</v>
      </c>
      <c r="J7" s="112">
        <f t="shared" si="1"/>
        <v>0</v>
      </c>
      <c r="K7" s="112">
        <f t="shared" si="1"/>
        <v>0</v>
      </c>
      <c r="L7" s="112">
        <f t="shared" si="1"/>
        <v>0</v>
      </c>
      <c r="M7" s="112">
        <f t="shared" si="1"/>
        <v>0</v>
      </c>
      <c r="N7" s="112">
        <f t="shared" si="1"/>
        <v>0</v>
      </c>
      <c r="O7" s="112">
        <f t="shared" si="1"/>
        <v>0</v>
      </c>
      <c r="P7" s="112">
        <f t="shared" si="1"/>
        <v>0</v>
      </c>
      <c r="Q7" s="112">
        <f t="shared" si="1"/>
        <v>0</v>
      </c>
      <c r="R7" s="112">
        <f t="shared" si="1"/>
        <v>0</v>
      </c>
      <c r="S7" s="112">
        <f t="shared" si="1"/>
        <v>0</v>
      </c>
      <c r="T7" s="112">
        <f t="shared" si="1"/>
        <v>0</v>
      </c>
      <c r="U7" s="112">
        <f t="shared" si="1"/>
        <v>0</v>
      </c>
      <c r="V7" s="112">
        <f t="shared" si="1"/>
        <v>0</v>
      </c>
      <c r="W7" s="112">
        <f t="shared" si="1"/>
        <v>0</v>
      </c>
      <c r="X7" s="112">
        <f t="shared" si="1"/>
        <v>0</v>
      </c>
      <c r="Y7" s="112">
        <f t="shared" si="1"/>
        <v>0</v>
      </c>
      <c r="Z7" s="112">
        <f t="shared" si="1"/>
        <v>0</v>
      </c>
      <c r="AA7" s="112">
        <f t="shared" si="1"/>
        <v>0</v>
      </c>
      <c r="AB7" s="112">
        <f t="shared" si="1"/>
        <v>0</v>
      </c>
      <c r="AC7" s="112">
        <f t="shared" si="1"/>
        <v>0</v>
      </c>
      <c r="AD7" s="112">
        <f t="shared" si="1"/>
        <v>0</v>
      </c>
      <c r="AE7" s="112">
        <f t="shared" si="1"/>
        <v>0</v>
      </c>
      <c r="AF7" s="108">
        <f t="shared" si="1"/>
        <v>0</v>
      </c>
    </row>
    <row r="8" spans="2:32" ht="14.25">
      <c r="B8">
        <v>6</v>
      </c>
      <c r="C8" s="109">
        <f t="shared" si="0"/>
        <v>0.16666666666666666</v>
      </c>
      <c r="D8" s="112">
        <f t="shared" si="1"/>
        <v>0.16666666666666666</v>
      </c>
      <c r="E8" s="112">
        <f t="shared" si="1"/>
        <v>0.16666666666666666</v>
      </c>
      <c r="F8" s="112">
        <f t="shared" si="1"/>
        <v>0.16666666666666666</v>
      </c>
      <c r="G8" s="112">
        <f t="shared" si="1"/>
        <v>0.16666666666666666</v>
      </c>
      <c r="H8" s="112">
        <f t="shared" si="1"/>
        <v>0.16666666666666666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  <c r="U8" s="112">
        <f t="shared" si="1"/>
        <v>0</v>
      </c>
      <c r="V8" s="112">
        <f t="shared" si="1"/>
        <v>0</v>
      </c>
      <c r="W8" s="112">
        <f t="shared" si="1"/>
        <v>0</v>
      </c>
      <c r="X8" s="112">
        <f t="shared" si="1"/>
        <v>0</v>
      </c>
      <c r="Y8" s="112">
        <f t="shared" si="1"/>
        <v>0</v>
      </c>
      <c r="Z8" s="112">
        <f t="shared" si="1"/>
        <v>0</v>
      </c>
      <c r="AA8" s="112">
        <f t="shared" si="1"/>
        <v>0</v>
      </c>
      <c r="AB8" s="112">
        <f t="shared" si="1"/>
        <v>0</v>
      </c>
      <c r="AC8" s="112">
        <f t="shared" si="1"/>
        <v>0</v>
      </c>
      <c r="AD8" s="112">
        <f t="shared" si="1"/>
        <v>0</v>
      </c>
      <c r="AE8" s="112">
        <f t="shared" si="1"/>
        <v>0</v>
      </c>
      <c r="AF8" s="108">
        <f t="shared" si="1"/>
        <v>0</v>
      </c>
    </row>
    <row r="9" spans="2:32" ht="14.25">
      <c r="B9">
        <v>7</v>
      </c>
      <c r="C9" s="109">
        <f t="shared" si="0"/>
        <v>0.14285714285714285</v>
      </c>
      <c r="D9" s="112">
        <f t="shared" si="1"/>
        <v>0.14285714285714285</v>
      </c>
      <c r="E9" s="112">
        <f t="shared" si="1"/>
        <v>0.14285714285714285</v>
      </c>
      <c r="F9" s="112">
        <f t="shared" si="1"/>
        <v>0.14285714285714285</v>
      </c>
      <c r="G9" s="112">
        <f t="shared" si="1"/>
        <v>0.14285714285714285</v>
      </c>
      <c r="H9" s="112">
        <f t="shared" si="1"/>
        <v>0.14285714285714285</v>
      </c>
      <c r="I9" s="112">
        <f t="shared" si="1"/>
        <v>0.14285714285714285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12">
        <f t="shared" si="1"/>
        <v>0</v>
      </c>
      <c r="R9" s="112">
        <f t="shared" si="1"/>
        <v>0</v>
      </c>
      <c r="S9" s="112">
        <f t="shared" si="1"/>
        <v>0</v>
      </c>
      <c r="T9" s="112">
        <f t="shared" si="1"/>
        <v>0</v>
      </c>
      <c r="U9" s="112">
        <f t="shared" si="1"/>
        <v>0</v>
      </c>
      <c r="V9" s="112">
        <f t="shared" si="1"/>
        <v>0</v>
      </c>
      <c r="W9" s="112">
        <f t="shared" si="1"/>
        <v>0</v>
      </c>
      <c r="X9" s="112">
        <f t="shared" si="1"/>
        <v>0</v>
      </c>
      <c r="Y9" s="112">
        <f t="shared" si="1"/>
        <v>0</v>
      </c>
      <c r="Z9" s="112">
        <f t="shared" si="1"/>
        <v>0</v>
      </c>
      <c r="AA9" s="112">
        <f t="shared" si="1"/>
        <v>0</v>
      </c>
      <c r="AB9" s="112">
        <f t="shared" si="1"/>
        <v>0</v>
      </c>
      <c r="AC9" s="112">
        <f t="shared" si="1"/>
        <v>0</v>
      </c>
      <c r="AD9" s="112">
        <f t="shared" si="1"/>
        <v>0</v>
      </c>
      <c r="AE9" s="112">
        <f t="shared" si="1"/>
        <v>0</v>
      </c>
      <c r="AF9" s="108">
        <f t="shared" si="1"/>
        <v>0</v>
      </c>
    </row>
    <row r="10" spans="2:32" ht="14.25">
      <c r="B10">
        <v>8</v>
      </c>
      <c r="C10" s="109">
        <f t="shared" si="0"/>
        <v>0.125</v>
      </c>
      <c r="D10" s="112">
        <f t="shared" si="1"/>
        <v>0.125</v>
      </c>
      <c r="E10" s="112">
        <f t="shared" si="1"/>
        <v>0.125</v>
      </c>
      <c r="F10" s="112">
        <f t="shared" si="1"/>
        <v>0.125</v>
      </c>
      <c r="G10" s="112">
        <f t="shared" si="1"/>
        <v>0.125</v>
      </c>
      <c r="H10" s="112">
        <f t="shared" si="1"/>
        <v>0.125</v>
      </c>
      <c r="I10" s="112">
        <f t="shared" si="1"/>
        <v>0.125</v>
      </c>
      <c r="J10" s="112">
        <f t="shared" si="1"/>
        <v>0.125</v>
      </c>
      <c r="K10" s="112">
        <f t="shared" si="1"/>
        <v>0</v>
      </c>
      <c r="L10" s="112">
        <f t="shared" si="1"/>
        <v>0</v>
      </c>
      <c r="M10" s="112">
        <f t="shared" si="1"/>
        <v>0</v>
      </c>
      <c r="N10" s="112">
        <f t="shared" si="1"/>
        <v>0</v>
      </c>
      <c r="O10" s="112">
        <f t="shared" si="1"/>
        <v>0</v>
      </c>
      <c r="P10" s="112">
        <f t="shared" si="1"/>
        <v>0</v>
      </c>
      <c r="Q10" s="112">
        <f t="shared" si="1"/>
        <v>0</v>
      </c>
      <c r="R10" s="112">
        <f t="shared" si="1"/>
        <v>0</v>
      </c>
      <c r="S10" s="112">
        <f t="shared" si="1"/>
        <v>0</v>
      </c>
      <c r="T10" s="112">
        <f t="shared" si="1"/>
        <v>0</v>
      </c>
      <c r="U10" s="112">
        <f t="shared" si="1"/>
        <v>0</v>
      </c>
      <c r="V10" s="112">
        <f t="shared" si="1"/>
        <v>0</v>
      </c>
      <c r="W10" s="112">
        <f t="shared" si="1"/>
        <v>0</v>
      </c>
      <c r="X10" s="112">
        <f t="shared" si="1"/>
        <v>0</v>
      </c>
      <c r="Y10" s="112">
        <f t="shared" si="1"/>
        <v>0</v>
      </c>
      <c r="Z10" s="112">
        <f t="shared" si="1"/>
        <v>0</v>
      </c>
      <c r="AA10" s="112">
        <f t="shared" si="1"/>
        <v>0</v>
      </c>
      <c r="AB10" s="112">
        <f t="shared" si="1"/>
        <v>0</v>
      </c>
      <c r="AC10" s="112">
        <f t="shared" si="1"/>
        <v>0</v>
      </c>
      <c r="AD10" s="112">
        <f t="shared" si="1"/>
        <v>0</v>
      </c>
      <c r="AE10" s="112">
        <f t="shared" si="1"/>
        <v>0</v>
      </c>
      <c r="AF10" s="108">
        <f t="shared" si="1"/>
        <v>0</v>
      </c>
    </row>
    <row r="11" spans="2:32" ht="14.25">
      <c r="B11">
        <v>9</v>
      </c>
      <c r="C11" s="109">
        <f t="shared" si="0"/>
        <v>0.1111111111111111</v>
      </c>
      <c r="D11" s="112">
        <f t="shared" si="1"/>
        <v>0.1111111111111111</v>
      </c>
      <c r="E11" s="112">
        <f t="shared" si="1"/>
        <v>0.1111111111111111</v>
      </c>
      <c r="F11" s="112">
        <f t="shared" si="1"/>
        <v>0.1111111111111111</v>
      </c>
      <c r="G11" s="112">
        <f t="shared" si="1"/>
        <v>0.1111111111111111</v>
      </c>
      <c r="H11" s="112">
        <f t="shared" si="1"/>
        <v>0.1111111111111111</v>
      </c>
      <c r="I11" s="112">
        <f t="shared" si="1"/>
        <v>0.1111111111111111</v>
      </c>
      <c r="J11" s="112">
        <f t="shared" si="1"/>
        <v>0.1111111111111111</v>
      </c>
      <c r="K11" s="112">
        <f t="shared" si="1"/>
        <v>0.1111111111111111</v>
      </c>
      <c r="L11" s="112">
        <f t="shared" si="1"/>
        <v>0</v>
      </c>
      <c r="M11" s="112">
        <f t="shared" si="1"/>
        <v>0</v>
      </c>
      <c r="N11" s="112">
        <f t="shared" si="1"/>
        <v>0</v>
      </c>
      <c r="O11" s="112">
        <f t="shared" si="1"/>
        <v>0</v>
      </c>
      <c r="P11" s="112">
        <f t="shared" si="1"/>
        <v>0</v>
      </c>
      <c r="Q11" s="112">
        <f t="shared" si="1"/>
        <v>0</v>
      </c>
      <c r="R11" s="112">
        <f t="shared" si="1"/>
        <v>0</v>
      </c>
      <c r="S11" s="112">
        <f t="shared" si="1"/>
        <v>0</v>
      </c>
      <c r="T11" s="112">
        <f t="shared" si="1"/>
        <v>0</v>
      </c>
      <c r="U11" s="112">
        <f t="shared" si="1"/>
        <v>0</v>
      </c>
      <c r="V11" s="112">
        <f t="shared" si="1"/>
        <v>0</v>
      </c>
      <c r="W11" s="112">
        <f t="shared" si="1"/>
        <v>0</v>
      </c>
      <c r="X11" s="112">
        <f t="shared" si="1"/>
        <v>0</v>
      </c>
      <c r="Y11" s="112">
        <f t="shared" si="1"/>
        <v>0</v>
      </c>
      <c r="Z11" s="112">
        <f t="shared" si="1"/>
        <v>0</v>
      </c>
      <c r="AA11" s="112">
        <f aca="true" t="shared" si="2" ref="D11:AF21">IF(AA$2&gt;$B11,0,100%/$B11)</f>
        <v>0</v>
      </c>
      <c r="AB11" s="112">
        <f t="shared" si="2"/>
        <v>0</v>
      </c>
      <c r="AC11" s="112">
        <f t="shared" si="2"/>
        <v>0</v>
      </c>
      <c r="AD11" s="112">
        <f t="shared" si="2"/>
        <v>0</v>
      </c>
      <c r="AE11" s="112">
        <f t="shared" si="2"/>
        <v>0</v>
      </c>
      <c r="AF11" s="108">
        <f t="shared" si="2"/>
        <v>0</v>
      </c>
    </row>
    <row r="12" spans="2:32" ht="14.25">
      <c r="B12">
        <v>10</v>
      </c>
      <c r="C12" s="109">
        <f t="shared" si="0"/>
        <v>0.1</v>
      </c>
      <c r="D12" s="112">
        <f t="shared" si="2"/>
        <v>0.1</v>
      </c>
      <c r="E12" s="112">
        <f t="shared" si="2"/>
        <v>0.1</v>
      </c>
      <c r="F12" s="112">
        <f t="shared" si="2"/>
        <v>0.1</v>
      </c>
      <c r="G12" s="112">
        <f t="shared" si="2"/>
        <v>0.1</v>
      </c>
      <c r="H12" s="112">
        <f t="shared" si="2"/>
        <v>0.1</v>
      </c>
      <c r="I12" s="112">
        <f t="shared" si="2"/>
        <v>0.1</v>
      </c>
      <c r="J12" s="112">
        <f t="shared" si="2"/>
        <v>0.1</v>
      </c>
      <c r="K12" s="112">
        <f t="shared" si="2"/>
        <v>0.1</v>
      </c>
      <c r="L12" s="112">
        <f t="shared" si="2"/>
        <v>0.1</v>
      </c>
      <c r="M12" s="112">
        <f t="shared" si="2"/>
        <v>0</v>
      </c>
      <c r="N12" s="112">
        <f t="shared" si="2"/>
        <v>0</v>
      </c>
      <c r="O12" s="112">
        <f t="shared" si="2"/>
        <v>0</v>
      </c>
      <c r="P12" s="112">
        <f t="shared" si="2"/>
        <v>0</v>
      </c>
      <c r="Q12" s="112">
        <f t="shared" si="2"/>
        <v>0</v>
      </c>
      <c r="R12" s="112">
        <f t="shared" si="2"/>
        <v>0</v>
      </c>
      <c r="S12" s="112">
        <f t="shared" si="2"/>
        <v>0</v>
      </c>
      <c r="T12" s="112">
        <f t="shared" si="2"/>
        <v>0</v>
      </c>
      <c r="U12" s="112">
        <f t="shared" si="2"/>
        <v>0</v>
      </c>
      <c r="V12" s="112">
        <f t="shared" si="2"/>
        <v>0</v>
      </c>
      <c r="W12" s="112">
        <f t="shared" si="2"/>
        <v>0</v>
      </c>
      <c r="X12" s="112">
        <f t="shared" si="2"/>
        <v>0</v>
      </c>
      <c r="Y12" s="112">
        <f t="shared" si="2"/>
        <v>0</v>
      </c>
      <c r="Z12" s="112">
        <f t="shared" si="2"/>
        <v>0</v>
      </c>
      <c r="AA12" s="112">
        <f t="shared" si="2"/>
        <v>0</v>
      </c>
      <c r="AB12" s="112">
        <f t="shared" si="2"/>
        <v>0</v>
      </c>
      <c r="AC12" s="112">
        <f t="shared" si="2"/>
        <v>0</v>
      </c>
      <c r="AD12" s="112">
        <f t="shared" si="2"/>
        <v>0</v>
      </c>
      <c r="AE12" s="112">
        <f t="shared" si="2"/>
        <v>0</v>
      </c>
      <c r="AF12" s="108">
        <f t="shared" si="2"/>
        <v>0</v>
      </c>
    </row>
    <row r="13" spans="2:32" ht="14.25">
      <c r="B13" s="90">
        <v>11</v>
      </c>
      <c r="C13" s="109">
        <f t="shared" si="0"/>
        <v>0.09090909090909091</v>
      </c>
      <c r="D13" s="112">
        <f t="shared" si="2"/>
        <v>0.09090909090909091</v>
      </c>
      <c r="E13" s="112">
        <f t="shared" si="2"/>
        <v>0.09090909090909091</v>
      </c>
      <c r="F13" s="112">
        <f t="shared" si="2"/>
        <v>0.09090909090909091</v>
      </c>
      <c r="G13" s="112">
        <f t="shared" si="2"/>
        <v>0.09090909090909091</v>
      </c>
      <c r="H13" s="112">
        <f t="shared" si="2"/>
        <v>0.09090909090909091</v>
      </c>
      <c r="I13" s="112">
        <f t="shared" si="2"/>
        <v>0.09090909090909091</v>
      </c>
      <c r="J13" s="112">
        <f t="shared" si="2"/>
        <v>0.09090909090909091</v>
      </c>
      <c r="K13" s="112">
        <f t="shared" si="2"/>
        <v>0.09090909090909091</v>
      </c>
      <c r="L13" s="112">
        <f t="shared" si="2"/>
        <v>0.09090909090909091</v>
      </c>
      <c r="M13" s="112">
        <f t="shared" si="2"/>
        <v>0.09090909090909091</v>
      </c>
      <c r="N13" s="112">
        <f t="shared" si="2"/>
        <v>0</v>
      </c>
      <c r="O13" s="112">
        <f t="shared" si="2"/>
        <v>0</v>
      </c>
      <c r="P13" s="112">
        <f t="shared" si="2"/>
        <v>0</v>
      </c>
      <c r="Q13" s="112">
        <f t="shared" si="2"/>
        <v>0</v>
      </c>
      <c r="R13" s="112">
        <f t="shared" si="2"/>
        <v>0</v>
      </c>
      <c r="S13" s="112">
        <f t="shared" si="2"/>
        <v>0</v>
      </c>
      <c r="T13" s="112">
        <f t="shared" si="2"/>
        <v>0</v>
      </c>
      <c r="U13" s="112">
        <f t="shared" si="2"/>
        <v>0</v>
      </c>
      <c r="V13" s="112">
        <f t="shared" si="2"/>
        <v>0</v>
      </c>
      <c r="W13" s="112">
        <f t="shared" si="2"/>
        <v>0</v>
      </c>
      <c r="X13" s="112">
        <f t="shared" si="2"/>
        <v>0</v>
      </c>
      <c r="Y13" s="112">
        <f t="shared" si="2"/>
        <v>0</v>
      </c>
      <c r="Z13" s="112">
        <f t="shared" si="2"/>
        <v>0</v>
      </c>
      <c r="AA13" s="112">
        <f t="shared" si="2"/>
        <v>0</v>
      </c>
      <c r="AB13" s="112">
        <f t="shared" si="2"/>
        <v>0</v>
      </c>
      <c r="AC13" s="112">
        <f t="shared" si="2"/>
        <v>0</v>
      </c>
      <c r="AD13" s="112">
        <f t="shared" si="2"/>
        <v>0</v>
      </c>
      <c r="AE13" s="112">
        <f t="shared" si="2"/>
        <v>0</v>
      </c>
      <c r="AF13" s="108">
        <f t="shared" si="2"/>
        <v>0</v>
      </c>
    </row>
    <row r="14" spans="2:32" s="90" customFormat="1" ht="14.25">
      <c r="B14" s="90">
        <v>12</v>
      </c>
      <c r="C14" s="109">
        <f t="shared" si="0"/>
        <v>0.08333333333333333</v>
      </c>
      <c r="D14" s="112">
        <f t="shared" si="2"/>
        <v>0.08333333333333333</v>
      </c>
      <c r="E14" s="112">
        <f t="shared" si="2"/>
        <v>0.08333333333333333</v>
      </c>
      <c r="F14" s="112">
        <f t="shared" si="2"/>
        <v>0.08333333333333333</v>
      </c>
      <c r="G14" s="112">
        <f t="shared" si="2"/>
        <v>0.08333333333333333</v>
      </c>
      <c r="H14" s="112">
        <f t="shared" si="2"/>
        <v>0.08333333333333333</v>
      </c>
      <c r="I14" s="112">
        <f t="shared" si="2"/>
        <v>0.08333333333333333</v>
      </c>
      <c r="J14" s="112">
        <f t="shared" si="2"/>
        <v>0.08333333333333333</v>
      </c>
      <c r="K14" s="112">
        <f t="shared" si="2"/>
        <v>0.08333333333333333</v>
      </c>
      <c r="L14" s="112">
        <f t="shared" si="2"/>
        <v>0.08333333333333333</v>
      </c>
      <c r="M14" s="112">
        <f t="shared" si="2"/>
        <v>0.08333333333333333</v>
      </c>
      <c r="N14" s="112">
        <f t="shared" si="2"/>
        <v>0.08333333333333333</v>
      </c>
      <c r="O14" s="112">
        <f t="shared" si="2"/>
        <v>0</v>
      </c>
      <c r="P14" s="112">
        <f t="shared" si="2"/>
        <v>0</v>
      </c>
      <c r="Q14" s="112">
        <f t="shared" si="2"/>
        <v>0</v>
      </c>
      <c r="R14" s="112">
        <f t="shared" si="2"/>
        <v>0</v>
      </c>
      <c r="S14" s="112">
        <f t="shared" si="2"/>
        <v>0</v>
      </c>
      <c r="T14" s="112">
        <f t="shared" si="2"/>
        <v>0</v>
      </c>
      <c r="U14" s="112">
        <f t="shared" si="2"/>
        <v>0</v>
      </c>
      <c r="V14" s="112">
        <f t="shared" si="2"/>
        <v>0</v>
      </c>
      <c r="W14" s="112">
        <f t="shared" si="2"/>
        <v>0</v>
      </c>
      <c r="X14" s="112">
        <f t="shared" si="2"/>
        <v>0</v>
      </c>
      <c r="Y14" s="112">
        <f t="shared" si="2"/>
        <v>0</v>
      </c>
      <c r="Z14" s="112">
        <f t="shared" si="2"/>
        <v>0</v>
      </c>
      <c r="AA14" s="112">
        <f t="shared" si="2"/>
        <v>0</v>
      </c>
      <c r="AB14" s="112">
        <f t="shared" si="2"/>
        <v>0</v>
      </c>
      <c r="AC14" s="112">
        <f t="shared" si="2"/>
        <v>0</v>
      </c>
      <c r="AD14" s="112">
        <f t="shared" si="2"/>
        <v>0</v>
      </c>
      <c r="AE14" s="112">
        <f t="shared" si="2"/>
        <v>0</v>
      </c>
      <c r="AF14" s="108">
        <f t="shared" si="2"/>
        <v>0</v>
      </c>
    </row>
    <row r="15" spans="2:32" s="90" customFormat="1" ht="14.25">
      <c r="B15" s="90">
        <v>13</v>
      </c>
      <c r="C15" s="109">
        <f t="shared" si="0"/>
        <v>0.07692307692307693</v>
      </c>
      <c r="D15" s="112">
        <f t="shared" si="2"/>
        <v>0.07692307692307693</v>
      </c>
      <c r="E15" s="112">
        <f t="shared" si="2"/>
        <v>0.07692307692307693</v>
      </c>
      <c r="F15" s="112">
        <f t="shared" si="2"/>
        <v>0.07692307692307693</v>
      </c>
      <c r="G15" s="112">
        <f t="shared" si="2"/>
        <v>0.07692307692307693</v>
      </c>
      <c r="H15" s="112">
        <f t="shared" si="2"/>
        <v>0.07692307692307693</v>
      </c>
      <c r="I15" s="112">
        <f t="shared" si="2"/>
        <v>0.07692307692307693</v>
      </c>
      <c r="J15" s="112">
        <f t="shared" si="2"/>
        <v>0.07692307692307693</v>
      </c>
      <c r="K15" s="112">
        <f t="shared" si="2"/>
        <v>0.07692307692307693</v>
      </c>
      <c r="L15" s="112">
        <f t="shared" si="2"/>
        <v>0.07692307692307693</v>
      </c>
      <c r="M15" s="112">
        <f t="shared" si="2"/>
        <v>0.07692307692307693</v>
      </c>
      <c r="N15" s="112">
        <f t="shared" si="2"/>
        <v>0.07692307692307693</v>
      </c>
      <c r="O15" s="112">
        <f t="shared" si="2"/>
        <v>0.07692307692307693</v>
      </c>
      <c r="P15" s="112">
        <f t="shared" si="2"/>
        <v>0</v>
      </c>
      <c r="Q15" s="112">
        <f t="shared" si="2"/>
        <v>0</v>
      </c>
      <c r="R15" s="112">
        <f t="shared" si="2"/>
        <v>0</v>
      </c>
      <c r="S15" s="112">
        <f t="shared" si="2"/>
        <v>0</v>
      </c>
      <c r="T15" s="112">
        <f t="shared" si="2"/>
        <v>0</v>
      </c>
      <c r="U15" s="112">
        <f t="shared" si="2"/>
        <v>0</v>
      </c>
      <c r="V15" s="112">
        <f t="shared" si="2"/>
        <v>0</v>
      </c>
      <c r="W15" s="112">
        <f t="shared" si="2"/>
        <v>0</v>
      </c>
      <c r="X15" s="112">
        <f t="shared" si="2"/>
        <v>0</v>
      </c>
      <c r="Y15" s="112">
        <f t="shared" si="2"/>
        <v>0</v>
      </c>
      <c r="Z15" s="112">
        <f t="shared" si="2"/>
        <v>0</v>
      </c>
      <c r="AA15" s="112">
        <f t="shared" si="2"/>
        <v>0</v>
      </c>
      <c r="AB15" s="112">
        <f t="shared" si="2"/>
        <v>0</v>
      </c>
      <c r="AC15" s="112">
        <f t="shared" si="2"/>
        <v>0</v>
      </c>
      <c r="AD15" s="112">
        <f t="shared" si="2"/>
        <v>0</v>
      </c>
      <c r="AE15" s="112">
        <f t="shared" si="2"/>
        <v>0</v>
      </c>
      <c r="AF15" s="108">
        <f t="shared" si="2"/>
        <v>0</v>
      </c>
    </row>
    <row r="16" spans="2:32" s="90" customFormat="1" ht="14.25">
      <c r="B16" s="90">
        <v>14</v>
      </c>
      <c r="C16" s="109">
        <f t="shared" si="0"/>
        <v>0.07142857142857142</v>
      </c>
      <c r="D16" s="112">
        <f t="shared" si="2"/>
        <v>0.07142857142857142</v>
      </c>
      <c r="E16" s="112">
        <f t="shared" si="2"/>
        <v>0.07142857142857142</v>
      </c>
      <c r="F16" s="112">
        <f t="shared" si="2"/>
        <v>0.07142857142857142</v>
      </c>
      <c r="G16" s="112">
        <f t="shared" si="2"/>
        <v>0.07142857142857142</v>
      </c>
      <c r="H16" s="112">
        <f t="shared" si="2"/>
        <v>0.07142857142857142</v>
      </c>
      <c r="I16" s="112">
        <f t="shared" si="2"/>
        <v>0.07142857142857142</v>
      </c>
      <c r="J16" s="112">
        <f t="shared" si="2"/>
        <v>0.07142857142857142</v>
      </c>
      <c r="K16" s="112">
        <f t="shared" si="2"/>
        <v>0.07142857142857142</v>
      </c>
      <c r="L16" s="112">
        <f t="shared" si="2"/>
        <v>0.07142857142857142</v>
      </c>
      <c r="M16" s="112">
        <f t="shared" si="2"/>
        <v>0.07142857142857142</v>
      </c>
      <c r="N16" s="112">
        <f t="shared" si="2"/>
        <v>0.07142857142857142</v>
      </c>
      <c r="O16" s="112">
        <f t="shared" si="2"/>
        <v>0.07142857142857142</v>
      </c>
      <c r="P16" s="112">
        <f t="shared" si="2"/>
        <v>0.07142857142857142</v>
      </c>
      <c r="Q16" s="112">
        <f t="shared" si="2"/>
        <v>0</v>
      </c>
      <c r="R16" s="112">
        <f t="shared" si="2"/>
        <v>0</v>
      </c>
      <c r="S16" s="112">
        <f t="shared" si="2"/>
        <v>0</v>
      </c>
      <c r="T16" s="112">
        <f t="shared" si="2"/>
        <v>0</v>
      </c>
      <c r="U16" s="112">
        <f t="shared" si="2"/>
        <v>0</v>
      </c>
      <c r="V16" s="112">
        <f t="shared" si="2"/>
        <v>0</v>
      </c>
      <c r="W16" s="112">
        <f t="shared" si="2"/>
        <v>0</v>
      </c>
      <c r="X16" s="112">
        <f t="shared" si="2"/>
        <v>0</v>
      </c>
      <c r="Y16" s="112">
        <f t="shared" si="2"/>
        <v>0</v>
      </c>
      <c r="Z16" s="112">
        <f t="shared" si="2"/>
        <v>0</v>
      </c>
      <c r="AA16" s="112">
        <f t="shared" si="2"/>
        <v>0</v>
      </c>
      <c r="AB16" s="112">
        <f t="shared" si="2"/>
        <v>0</v>
      </c>
      <c r="AC16" s="112">
        <f t="shared" si="2"/>
        <v>0</v>
      </c>
      <c r="AD16" s="112">
        <f t="shared" si="2"/>
        <v>0</v>
      </c>
      <c r="AE16" s="112">
        <f t="shared" si="2"/>
        <v>0</v>
      </c>
      <c r="AF16" s="108">
        <f t="shared" si="2"/>
        <v>0</v>
      </c>
    </row>
    <row r="17" spans="2:32" s="90" customFormat="1" ht="14.25">
      <c r="B17" s="90">
        <v>15</v>
      </c>
      <c r="C17" s="109">
        <f t="shared" si="0"/>
        <v>0.06666666666666667</v>
      </c>
      <c r="D17" s="112">
        <f t="shared" si="2"/>
        <v>0.06666666666666667</v>
      </c>
      <c r="E17" s="112">
        <f t="shared" si="2"/>
        <v>0.06666666666666667</v>
      </c>
      <c r="F17" s="112">
        <f t="shared" si="2"/>
        <v>0.06666666666666667</v>
      </c>
      <c r="G17" s="112">
        <f t="shared" si="2"/>
        <v>0.06666666666666667</v>
      </c>
      <c r="H17" s="112">
        <f t="shared" si="2"/>
        <v>0.06666666666666667</v>
      </c>
      <c r="I17" s="112">
        <f t="shared" si="2"/>
        <v>0.06666666666666667</v>
      </c>
      <c r="J17" s="112">
        <f t="shared" si="2"/>
        <v>0.06666666666666667</v>
      </c>
      <c r="K17" s="112">
        <f t="shared" si="2"/>
        <v>0.06666666666666667</v>
      </c>
      <c r="L17" s="112">
        <f t="shared" si="2"/>
        <v>0.06666666666666667</v>
      </c>
      <c r="M17" s="112">
        <f t="shared" si="2"/>
        <v>0.06666666666666667</v>
      </c>
      <c r="N17" s="112">
        <f t="shared" si="2"/>
        <v>0.06666666666666667</v>
      </c>
      <c r="O17" s="112">
        <f t="shared" si="2"/>
        <v>0.06666666666666667</v>
      </c>
      <c r="P17" s="112">
        <f t="shared" si="2"/>
        <v>0.06666666666666667</v>
      </c>
      <c r="Q17" s="112">
        <f t="shared" si="2"/>
        <v>0.06666666666666667</v>
      </c>
      <c r="R17" s="112">
        <f t="shared" si="2"/>
        <v>0</v>
      </c>
      <c r="S17" s="112">
        <f t="shared" si="2"/>
        <v>0</v>
      </c>
      <c r="T17" s="112">
        <f t="shared" si="2"/>
        <v>0</v>
      </c>
      <c r="U17" s="112">
        <f t="shared" si="2"/>
        <v>0</v>
      </c>
      <c r="V17" s="112">
        <f t="shared" si="2"/>
        <v>0</v>
      </c>
      <c r="W17" s="112">
        <f t="shared" si="2"/>
        <v>0</v>
      </c>
      <c r="X17" s="112">
        <f t="shared" si="2"/>
        <v>0</v>
      </c>
      <c r="Y17" s="112">
        <f t="shared" si="2"/>
        <v>0</v>
      </c>
      <c r="Z17" s="112">
        <f t="shared" si="2"/>
        <v>0</v>
      </c>
      <c r="AA17" s="112">
        <f t="shared" si="2"/>
        <v>0</v>
      </c>
      <c r="AB17" s="112">
        <f t="shared" si="2"/>
        <v>0</v>
      </c>
      <c r="AC17" s="112">
        <f t="shared" si="2"/>
        <v>0</v>
      </c>
      <c r="AD17" s="112">
        <f t="shared" si="2"/>
        <v>0</v>
      </c>
      <c r="AE17" s="112">
        <f t="shared" si="2"/>
        <v>0</v>
      </c>
      <c r="AF17" s="108">
        <f t="shared" si="2"/>
        <v>0</v>
      </c>
    </row>
    <row r="18" spans="2:32" s="90" customFormat="1" ht="14.25">
      <c r="B18" s="90">
        <v>16</v>
      </c>
      <c r="C18" s="109">
        <f t="shared" si="0"/>
        <v>0.0625</v>
      </c>
      <c r="D18" s="112">
        <f t="shared" si="2"/>
        <v>0.0625</v>
      </c>
      <c r="E18" s="112">
        <f t="shared" si="2"/>
        <v>0.0625</v>
      </c>
      <c r="F18" s="112">
        <f t="shared" si="2"/>
        <v>0.0625</v>
      </c>
      <c r="G18" s="112">
        <f t="shared" si="2"/>
        <v>0.0625</v>
      </c>
      <c r="H18" s="112">
        <f t="shared" si="2"/>
        <v>0.0625</v>
      </c>
      <c r="I18" s="112">
        <f t="shared" si="2"/>
        <v>0.0625</v>
      </c>
      <c r="J18" s="112">
        <f t="shared" si="2"/>
        <v>0.0625</v>
      </c>
      <c r="K18" s="112">
        <f t="shared" si="2"/>
        <v>0.0625</v>
      </c>
      <c r="L18" s="112">
        <f t="shared" si="2"/>
        <v>0.0625</v>
      </c>
      <c r="M18" s="112">
        <f t="shared" si="2"/>
        <v>0.0625</v>
      </c>
      <c r="N18" s="112">
        <f t="shared" si="2"/>
        <v>0.0625</v>
      </c>
      <c r="O18" s="112">
        <f t="shared" si="2"/>
        <v>0.0625</v>
      </c>
      <c r="P18" s="112">
        <f t="shared" si="2"/>
        <v>0.0625</v>
      </c>
      <c r="Q18" s="112">
        <f t="shared" si="2"/>
        <v>0.0625</v>
      </c>
      <c r="R18" s="112">
        <f t="shared" si="2"/>
        <v>0.0625</v>
      </c>
      <c r="S18" s="112">
        <f t="shared" si="2"/>
        <v>0</v>
      </c>
      <c r="T18" s="112">
        <f t="shared" si="2"/>
        <v>0</v>
      </c>
      <c r="U18" s="112">
        <f t="shared" si="2"/>
        <v>0</v>
      </c>
      <c r="V18" s="112">
        <f t="shared" si="2"/>
        <v>0</v>
      </c>
      <c r="W18" s="112">
        <f t="shared" si="2"/>
        <v>0</v>
      </c>
      <c r="X18" s="112">
        <f t="shared" si="2"/>
        <v>0</v>
      </c>
      <c r="Y18" s="112">
        <f t="shared" si="2"/>
        <v>0</v>
      </c>
      <c r="Z18" s="112">
        <f t="shared" si="2"/>
        <v>0</v>
      </c>
      <c r="AA18" s="112">
        <f t="shared" si="2"/>
        <v>0</v>
      </c>
      <c r="AB18" s="112">
        <f t="shared" si="2"/>
        <v>0</v>
      </c>
      <c r="AC18" s="112">
        <f t="shared" si="2"/>
        <v>0</v>
      </c>
      <c r="AD18" s="112">
        <f t="shared" si="2"/>
        <v>0</v>
      </c>
      <c r="AE18" s="112">
        <f t="shared" si="2"/>
        <v>0</v>
      </c>
      <c r="AF18" s="108">
        <f t="shared" si="2"/>
        <v>0</v>
      </c>
    </row>
    <row r="19" spans="2:32" s="90" customFormat="1" ht="14.25">
      <c r="B19" s="90">
        <v>17</v>
      </c>
      <c r="C19" s="109">
        <f>IF(C$2&gt;$B19,0,100%/$B19)</f>
        <v>0.058823529411764705</v>
      </c>
      <c r="D19" s="112">
        <f>IF(D$2&gt;$B19,0,100%/$B19)</f>
        <v>0.058823529411764705</v>
      </c>
      <c r="E19" s="112">
        <f>IF(E$2&gt;$B19,0,100%/$B19)</f>
        <v>0.058823529411764705</v>
      </c>
      <c r="F19" s="112">
        <f>IF(F$2&gt;$B19,0,100%/$B19)</f>
        <v>0.058823529411764705</v>
      </c>
      <c r="G19" s="112">
        <f>IF(G$2&gt;$B19,0,100%/$B19)</f>
        <v>0.058823529411764705</v>
      </c>
      <c r="H19" s="112">
        <f>IF(H$2&gt;$B19,0,100%/$B19)</f>
        <v>0.058823529411764705</v>
      </c>
      <c r="I19" s="112">
        <f>IF(I$2&gt;$B19,0,100%/$B19)</f>
        <v>0.058823529411764705</v>
      </c>
      <c r="J19" s="112">
        <f>IF(J$2&gt;$B19,0,100%/$B19)</f>
        <v>0.058823529411764705</v>
      </c>
      <c r="K19" s="112">
        <f>IF(K$2&gt;$B19,0,100%/$B19)</f>
        <v>0.058823529411764705</v>
      </c>
      <c r="L19" s="112">
        <f>IF(L$2&gt;$B19,0,100%/$B19)</f>
        <v>0.058823529411764705</v>
      </c>
      <c r="M19" s="112">
        <f>IF(M$2&gt;$B19,0,100%/$B19)</f>
        <v>0.058823529411764705</v>
      </c>
      <c r="N19" s="112">
        <f>IF(N$2&gt;$B19,0,100%/$B19)</f>
        <v>0.058823529411764705</v>
      </c>
      <c r="O19" s="112">
        <f>IF(O$2&gt;$B19,0,100%/$B19)</f>
        <v>0.058823529411764705</v>
      </c>
      <c r="P19" s="112">
        <f>IF(P$2&gt;$B19,0,100%/$B19)</f>
        <v>0.058823529411764705</v>
      </c>
      <c r="Q19" s="112">
        <f>IF(Q$2&gt;$B19,0,100%/$B19)</f>
        <v>0.058823529411764705</v>
      </c>
      <c r="R19" s="112">
        <f>IF(R$2&gt;$B19,0,100%/$B19)</f>
        <v>0.058823529411764705</v>
      </c>
      <c r="S19" s="112">
        <f t="shared" si="2"/>
        <v>0.058823529411764705</v>
      </c>
      <c r="T19" s="112">
        <f t="shared" si="2"/>
        <v>0</v>
      </c>
      <c r="U19" s="112">
        <f t="shared" si="2"/>
        <v>0</v>
      </c>
      <c r="V19" s="112">
        <f t="shared" si="2"/>
        <v>0</v>
      </c>
      <c r="W19" s="112">
        <f t="shared" si="2"/>
        <v>0</v>
      </c>
      <c r="X19" s="112">
        <f t="shared" si="2"/>
        <v>0</v>
      </c>
      <c r="Y19" s="112">
        <f t="shared" si="2"/>
        <v>0</v>
      </c>
      <c r="Z19" s="112">
        <f t="shared" si="2"/>
        <v>0</v>
      </c>
      <c r="AA19" s="112">
        <f t="shared" si="2"/>
        <v>0</v>
      </c>
      <c r="AB19" s="112">
        <f t="shared" si="2"/>
        <v>0</v>
      </c>
      <c r="AC19" s="112">
        <f t="shared" si="2"/>
        <v>0</v>
      </c>
      <c r="AD19" s="112">
        <f t="shared" si="2"/>
        <v>0</v>
      </c>
      <c r="AE19" s="112">
        <f t="shared" si="2"/>
        <v>0</v>
      </c>
      <c r="AF19" s="108">
        <f t="shared" si="2"/>
        <v>0</v>
      </c>
    </row>
    <row r="20" spans="2:32" s="90" customFormat="1" ht="14.25">
      <c r="B20" s="90">
        <v>18</v>
      </c>
      <c r="C20" s="109">
        <f>IF(C$2&gt;$B20,0,100%/$B20)</f>
        <v>0.05555555555555555</v>
      </c>
      <c r="D20" s="112">
        <f t="shared" si="2"/>
        <v>0.05555555555555555</v>
      </c>
      <c r="E20" s="112">
        <f t="shared" si="2"/>
        <v>0.05555555555555555</v>
      </c>
      <c r="F20" s="112">
        <f t="shared" si="2"/>
        <v>0.05555555555555555</v>
      </c>
      <c r="G20" s="112">
        <f t="shared" si="2"/>
        <v>0.05555555555555555</v>
      </c>
      <c r="H20" s="112">
        <f t="shared" si="2"/>
        <v>0.05555555555555555</v>
      </c>
      <c r="I20" s="112">
        <f t="shared" si="2"/>
        <v>0.05555555555555555</v>
      </c>
      <c r="J20" s="112">
        <f t="shared" si="2"/>
        <v>0.05555555555555555</v>
      </c>
      <c r="K20" s="112">
        <f t="shared" si="2"/>
        <v>0.05555555555555555</v>
      </c>
      <c r="L20" s="112">
        <f t="shared" si="2"/>
        <v>0.05555555555555555</v>
      </c>
      <c r="M20" s="112">
        <f t="shared" si="2"/>
        <v>0.05555555555555555</v>
      </c>
      <c r="N20" s="112">
        <f t="shared" si="2"/>
        <v>0.05555555555555555</v>
      </c>
      <c r="O20" s="112">
        <f t="shared" si="2"/>
        <v>0.05555555555555555</v>
      </c>
      <c r="P20" s="112">
        <f t="shared" si="2"/>
        <v>0.05555555555555555</v>
      </c>
      <c r="Q20" s="112">
        <f t="shared" si="2"/>
        <v>0.05555555555555555</v>
      </c>
      <c r="R20" s="112">
        <f t="shared" si="2"/>
        <v>0.05555555555555555</v>
      </c>
      <c r="S20" s="112">
        <f t="shared" si="2"/>
        <v>0.05555555555555555</v>
      </c>
      <c r="T20" s="112">
        <f t="shared" si="2"/>
        <v>0.05555555555555555</v>
      </c>
      <c r="U20" s="112">
        <f t="shared" si="2"/>
        <v>0</v>
      </c>
      <c r="V20" s="112">
        <f t="shared" si="2"/>
        <v>0</v>
      </c>
      <c r="W20" s="112">
        <f t="shared" si="2"/>
        <v>0</v>
      </c>
      <c r="X20" s="112">
        <f t="shared" si="2"/>
        <v>0</v>
      </c>
      <c r="Y20" s="112">
        <f t="shared" si="2"/>
        <v>0</v>
      </c>
      <c r="Z20" s="112">
        <f t="shared" si="2"/>
        <v>0</v>
      </c>
      <c r="AA20" s="112">
        <f t="shared" si="2"/>
        <v>0</v>
      </c>
      <c r="AB20" s="112">
        <f t="shared" si="2"/>
        <v>0</v>
      </c>
      <c r="AC20" s="112">
        <f t="shared" si="2"/>
        <v>0</v>
      </c>
      <c r="AD20" s="112">
        <f t="shared" si="2"/>
        <v>0</v>
      </c>
      <c r="AE20" s="112">
        <f t="shared" si="2"/>
        <v>0</v>
      </c>
      <c r="AF20" s="108">
        <f t="shared" si="2"/>
        <v>0</v>
      </c>
    </row>
    <row r="21" spans="2:32" s="90" customFormat="1" ht="14.25">
      <c r="B21" s="90">
        <v>19</v>
      </c>
      <c r="C21" s="109">
        <f>IF(C$2&gt;$B21,0,100%/$B21)</f>
        <v>0.05263157894736842</v>
      </c>
      <c r="D21" s="112">
        <f t="shared" si="2"/>
        <v>0.05263157894736842</v>
      </c>
      <c r="E21" s="112">
        <f t="shared" si="2"/>
        <v>0.05263157894736842</v>
      </c>
      <c r="F21" s="112">
        <f t="shared" si="2"/>
        <v>0.05263157894736842</v>
      </c>
      <c r="G21" s="112">
        <f aca="true" t="shared" si="3" ref="D21:AF29">IF(G$2&gt;$B21,0,100%/$B21)</f>
        <v>0.05263157894736842</v>
      </c>
      <c r="H21" s="112">
        <f t="shared" si="3"/>
        <v>0.05263157894736842</v>
      </c>
      <c r="I21" s="112">
        <f t="shared" si="3"/>
        <v>0.05263157894736842</v>
      </c>
      <c r="J21" s="112">
        <f t="shared" si="3"/>
        <v>0.05263157894736842</v>
      </c>
      <c r="K21" s="112">
        <f t="shared" si="3"/>
        <v>0.05263157894736842</v>
      </c>
      <c r="L21" s="112">
        <f t="shared" si="3"/>
        <v>0.05263157894736842</v>
      </c>
      <c r="M21" s="112">
        <f t="shared" si="3"/>
        <v>0.05263157894736842</v>
      </c>
      <c r="N21" s="112">
        <f t="shared" si="3"/>
        <v>0.05263157894736842</v>
      </c>
      <c r="O21" s="112">
        <f t="shared" si="3"/>
        <v>0.05263157894736842</v>
      </c>
      <c r="P21" s="112">
        <f t="shared" si="3"/>
        <v>0.05263157894736842</v>
      </c>
      <c r="Q21" s="112">
        <f t="shared" si="3"/>
        <v>0.05263157894736842</v>
      </c>
      <c r="R21" s="112">
        <f t="shared" si="3"/>
        <v>0.05263157894736842</v>
      </c>
      <c r="S21" s="112">
        <f t="shared" si="3"/>
        <v>0.05263157894736842</v>
      </c>
      <c r="T21" s="112">
        <f t="shared" si="3"/>
        <v>0.05263157894736842</v>
      </c>
      <c r="U21" s="112">
        <f t="shared" si="3"/>
        <v>0.05263157894736842</v>
      </c>
      <c r="V21" s="112">
        <f t="shared" si="3"/>
        <v>0</v>
      </c>
      <c r="W21" s="112">
        <f t="shared" si="3"/>
        <v>0</v>
      </c>
      <c r="X21" s="112">
        <f t="shared" si="3"/>
        <v>0</v>
      </c>
      <c r="Y21" s="112">
        <f t="shared" si="3"/>
        <v>0</v>
      </c>
      <c r="Z21" s="112">
        <f t="shared" si="3"/>
        <v>0</v>
      </c>
      <c r="AA21" s="112">
        <f t="shared" si="3"/>
        <v>0</v>
      </c>
      <c r="AB21" s="112">
        <f t="shared" si="3"/>
        <v>0</v>
      </c>
      <c r="AC21" s="112">
        <f t="shared" si="3"/>
        <v>0</v>
      </c>
      <c r="AD21" s="112">
        <f t="shared" si="3"/>
        <v>0</v>
      </c>
      <c r="AE21" s="112">
        <f t="shared" si="3"/>
        <v>0</v>
      </c>
      <c r="AF21" s="108">
        <f t="shared" si="3"/>
        <v>0</v>
      </c>
    </row>
    <row r="22" spans="2:32" s="90" customFormat="1" ht="14.25">
      <c r="B22" s="90">
        <v>20</v>
      </c>
      <c r="C22" s="109">
        <f>IF(C$2&gt;$B22,0,100%/$B22)</f>
        <v>0.05</v>
      </c>
      <c r="D22" s="112">
        <f t="shared" si="3"/>
        <v>0.05</v>
      </c>
      <c r="E22" s="112">
        <f t="shared" si="3"/>
        <v>0.05</v>
      </c>
      <c r="F22" s="112">
        <f t="shared" si="3"/>
        <v>0.05</v>
      </c>
      <c r="G22" s="112">
        <f t="shared" si="3"/>
        <v>0.05</v>
      </c>
      <c r="H22" s="112">
        <f t="shared" si="3"/>
        <v>0.05</v>
      </c>
      <c r="I22" s="112">
        <f t="shared" si="3"/>
        <v>0.05</v>
      </c>
      <c r="J22" s="112">
        <f t="shared" si="3"/>
        <v>0.05</v>
      </c>
      <c r="K22" s="112">
        <f t="shared" si="3"/>
        <v>0.05</v>
      </c>
      <c r="L22" s="112">
        <f t="shared" si="3"/>
        <v>0.05</v>
      </c>
      <c r="M22" s="112">
        <f t="shared" si="3"/>
        <v>0.05</v>
      </c>
      <c r="N22" s="112">
        <f t="shared" si="3"/>
        <v>0.05</v>
      </c>
      <c r="O22" s="112">
        <f t="shared" si="3"/>
        <v>0.05</v>
      </c>
      <c r="P22" s="112">
        <f t="shared" si="3"/>
        <v>0.05</v>
      </c>
      <c r="Q22" s="112">
        <f t="shared" si="3"/>
        <v>0.05</v>
      </c>
      <c r="R22" s="112">
        <f t="shared" si="3"/>
        <v>0.05</v>
      </c>
      <c r="S22" s="112">
        <f t="shared" si="3"/>
        <v>0.05</v>
      </c>
      <c r="T22" s="112">
        <f t="shared" si="3"/>
        <v>0.05</v>
      </c>
      <c r="U22" s="112">
        <f t="shared" si="3"/>
        <v>0.05</v>
      </c>
      <c r="V22" s="112">
        <f t="shared" si="3"/>
        <v>0.05</v>
      </c>
      <c r="W22" s="112">
        <f t="shared" si="3"/>
        <v>0</v>
      </c>
      <c r="X22" s="112">
        <f t="shared" si="3"/>
        <v>0</v>
      </c>
      <c r="Y22" s="112">
        <f t="shared" si="3"/>
        <v>0</v>
      </c>
      <c r="Z22" s="112">
        <f t="shared" si="3"/>
        <v>0</v>
      </c>
      <c r="AA22" s="112">
        <f t="shared" si="3"/>
        <v>0</v>
      </c>
      <c r="AB22" s="112">
        <f t="shared" si="3"/>
        <v>0</v>
      </c>
      <c r="AC22" s="112">
        <f t="shared" si="3"/>
        <v>0</v>
      </c>
      <c r="AD22" s="112">
        <f t="shared" si="3"/>
        <v>0</v>
      </c>
      <c r="AE22" s="112">
        <f t="shared" si="3"/>
        <v>0</v>
      </c>
      <c r="AF22" s="108">
        <f t="shared" si="3"/>
        <v>0</v>
      </c>
    </row>
    <row r="23" spans="2:32" s="90" customFormat="1" ht="14.25">
      <c r="B23" s="90">
        <v>21</v>
      </c>
      <c r="C23" s="109">
        <f>IF(C$2&gt;$B23,0,100%/$B23)</f>
        <v>0.047619047619047616</v>
      </c>
      <c r="D23" s="112">
        <f t="shared" si="3"/>
        <v>0.047619047619047616</v>
      </c>
      <c r="E23" s="112">
        <f t="shared" si="3"/>
        <v>0.047619047619047616</v>
      </c>
      <c r="F23" s="112">
        <f t="shared" si="3"/>
        <v>0.047619047619047616</v>
      </c>
      <c r="G23" s="112">
        <f t="shared" si="3"/>
        <v>0.047619047619047616</v>
      </c>
      <c r="H23" s="112">
        <f t="shared" si="3"/>
        <v>0.047619047619047616</v>
      </c>
      <c r="I23" s="112">
        <f t="shared" si="3"/>
        <v>0.047619047619047616</v>
      </c>
      <c r="J23" s="112">
        <f t="shared" si="3"/>
        <v>0.047619047619047616</v>
      </c>
      <c r="K23" s="112">
        <f t="shared" si="3"/>
        <v>0.047619047619047616</v>
      </c>
      <c r="L23" s="112">
        <f t="shared" si="3"/>
        <v>0.047619047619047616</v>
      </c>
      <c r="M23" s="112">
        <f t="shared" si="3"/>
        <v>0.047619047619047616</v>
      </c>
      <c r="N23" s="112">
        <f t="shared" si="3"/>
        <v>0.047619047619047616</v>
      </c>
      <c r="O23" s="112">
        <f t="shared" si="3"/>
        <v>0.047619047619047616</v>
      </c>
      <c r="P23" s="112">
        <f t="shared" si="3"/>
        <v>0.047619047619047616</v>
      </c>
      <c r="Q23" s="112">
        <f t="shared" si="3"/>
        <v>0.047619047619047616</v>
      </c>
      <c r="R23" s="112">
        <f t="shared" si="3"/>
        <v>0.047619047619047616</v>
      </c>
      <c r="S23" s="112">
        <f t="shared" si="3"/>
        <v>0.047619047619047616</v>
      </c>
      <c r="T23" s="112">
        <f t="shared" si="3"/>
        <v>0.047619047619047616</v>
      </c>
      <c r="U23" s="112">
        <f t="shared" si="3"/>
        <v>0.047619047619047616</v>
      </c>
      <c r="V23" s="112">
        <f t="shared" si="3"/>
        <v>0.047619047619047616</v>
      </c>
      <c r="W23" s="112">
        <f t="shared" si="3"/>
        <v>0.047619047619047616</v>
      </c>
      <c r="X23" s="112">
        <f t="shared" si="3"/>
        <v>0</v>
      </c>
      <c r="Y23" s="112">
        <f t="shared" si="3"/>
        <v>0</v>
      </c>
      <c r="Z23" s="112">
        <f t="shared" si="3"/>
        <v>0</v>
      </c>
      <c r="AA23" s="112">
        <f t="shared" si="3"/>
        <v>0</v>
      </c>
      <c r="AB23" s="112">
        <f t="shared" si="3"/>
        <v>0</v>
      </c>
      <c r="AC23" s="112">
        <f t="shared" si="3"/>
        <v>0</v>
      </c>
      <c r="AD23" s="112">
        <f t="shared" si="3"/>
        <v>0</v>
      </c>
      <c r="AE23" s="112">
        <f t="shared" si="3"/>
        <v>0</v>
      </c>
      <c r="AF23" s="108">
        <f t="shared" si="3"/>
        <v>0</v>
      </c>
    </row>
    <row r="24" spans="2:32" s="90" customFormat="1" ht="14.25">
      <c r="B24" s="90">
        <v>22</v>
      </c>
      <c r="C24" s="109">
        <f>IF(C$2&gt;$B24,0,100%/$B24)</f>
        <v>0.045454545454545456</v>
      </c>
      <c r="D24" s="112">
        <f t="shared" si="3"/>
        <v>0.045454545454545456</v>
      </c>
      <c r="E24" s="112">
        <f t="shared" si="3"/>
        <v>0.045454545454545456</v>
      </c>
      <c r="F24" s="112">
        <f t="shared" si="3"/>
        <v>0.045454545454545456</v>
      </c>
      <c r="G24" s="112">
        <f t="shared" si="3"/>
        <v>0.045454545454545456</v>
      </c>
      <c r="H24" s="112">
        <f t="shared" si="3"/>
        <v>0.045454545454545456</v>
      </c>
      <c r="I24" s="112">
        <f t="shared" si="3"/>
        <v>0.045454545454545456</v>
      </c>
      <c r="J24" s="112">
        <f t="shared" si="3"/>
        <v>0.045454545454545456</v>
      </c>
      <c r="K24" s="112">
        <f t="shared" si="3"/>
        <v>0.045454545454545456</v>
      </c>
      <c r="L24" s="112">
        <f t="shared" si="3"/>
        <v>0.045454545454545456</v>
      </c>
      <c r="M24" s="112">
        <f t="shared" si="3"/>
        <v>0.045454545454545456</v>
      </c>
      <c r="N24" s="112">
        <f t="shared" si="3"/>
        <v>0.045454545454545456</v>
      </c>
      <c r="O24" s="112">
        <f t="shared" si="3"/>
        <v>0.045454545454545456</v>
      </c>
      <c r="P24" s="112">
        <f t="shared" si="3"/>
        <v>0.045454545454545456</v>
      </c>
      <c r="Q24" s="112">
        <f t="shared" si="3"/>
        <v>0.045454545454545456</v>
      </c>
      <c r="R24" s="112">
        <f t="shared" si="3"/>
        <v>0.045454545454545456</v>
      </c>
      <c r="S24" s="112">
        <f t="shared" si="3"/>
        <v>0.045454545454545456</v>
      </c>
      <c r="T24" s="112">
        <f t="shared" si="3"/>
        <v>0.045454545454545456</v>
      </c>
      <c r="U24" s="112">
        <f t="shared" si="3"/>
        <v>0.045454545454545456</v>
      </c>
      <c r="V24" s="112">
        <f t="shared" si="3"/>
        <v>0.045454545454545456</v>
      </c>
      <c r="W24" s="112">
        <f t="shared" si="3"/>
        <v>0.045454545454545456</v>
      </c>
      <c r="X24" s="112">
        <f t="shared" si="3"/>
        <v>0.045454545454545456</v>
      </c>
      <c r="Y24" s="112">
        <f t="shared" si="3"/>
        <v>0</v>
      </c>
      <c r="Z24" s="112">
        <f t="shared" si="3"/>
        <v>0</v>
      </c>
      <c r="AA24" s="112">
        <f t="shared" si="3"/>
        <v>0</v>
      </c>
      <c r="AB24" s="112">
        <f t="shared" si="3"/>
        <v>0</v>
      </c>
      <c r="AC24" s="112">
        <f t="shared" si="3"/>
        <v>0</v>
      </c>
      <c r="AD24" s="112">
        <f t="shared" si="3"/>
        <v>0</v>
      </c>
      <c r="AE24" s="112">
        <f t="shared" si="3"/>
        <v>0</v>
      </c>
      <c r="AF24" s="108">
        <f t="shared" si="3"/>
        <v>0</v>
      </c>
    </row>
    <row r="25" spans="2:32" s="90" customFormat="1" ht="14.25">
      <c r="B25" s="90">
        <v>23</v>
      </c>
      <c r="C25" s="109">
        <f>IF(C$2&gt;$B25,0,100%/$B25)</f>
        <v>0.043478260869565216</v>
      </c>
      <c r="D25" s="112">
        <f t="shared" si="3"/>
        <v>0.043478260869565216</v>
      </c>
      <c r="E25" s="112">
        <f t="shared" si="3"/>
        <v>0.043478260869565216</v>
      </c>
      <c r="F25" s="112">
        <f t="shared" si="3"/>
        <v>0.043478260869565216</v>
      </c>
      <c r="G25" s="112">
        <f t="shared" si="3"/>
        <v>0.043478260869565216</v>
      </c>
      <c r="H25" s="112">
        <f t="shared" si="3"/>
        <v>0.043478260869565216</v>
      </c>
      <c r="I25" s="112">
        <f t="shared" si="3"/>
        <v>0.043478260869565216</v>
      </c>
      <c r="J25" s="112">
        <f t="shared" si="3"/>
        <v>0.043478260869565216</v>
      </c>
      <c r="K25" s="112">
        <f t="shared" si="3"/>
        <v>0.043478260869565216</v>
      </c>
      <c r="L25" s="112">
        <f t="shared" si="3"/>
        <v>0.043478260869565216</v>
      </c>
      <c r="M25" s="112">
        <f t="shared" si="3"/>
        <v>0.043478260869565216</v>
      </c>
      <c r="N25" s="112">
        <f t="shared" si="3"/>
        <v>0.043478260869565216</v>
      </c>
      <c r="O25" s="112">
        <f t="shared" si="3"/>
        <v>0.043478260869565216</v>
      </c>
      <c r="P25" s="112">
        <f t="shared" si="3"/>
        <v>0.043478260869565216</v>
      </c>
      <c r="Q25" s="112">
        <f t="shared" si="3"/>
        <v>0.043478260869565216</v>
      </c>
      <c r="R25" s="112">
        <f t="shared" si="3"/>
        <v>0.043478260869565216</v>
      </c>
      <c r="S25" s="112">
        <f t="shared" si="3"/>
        <v>0.043478260869565216</v>
      </c>
      <c r="T25" s="112">
        <f t="shared" si="3"/>
        <v>0.043478260869565216</v>
      </c>
      <c r="U25" s="112">
        <f t="shared" si="3"/>
        <v>0.043478260869565216</v>
      </c>
      <c r="V25" s="112">
        <f t="shared" si="3"/>
        <v>0.043478260869565216</v>
      </c>
      <c r="W25" s="112">
        <f t="shared" si="3"/>
        <v>0.043478260869565216</v>
      </c>
      <c r="X25" s="112">
        <f t="shared" si="3"/>
        <v>0.043478260869565216</v>
      </c>
      <c r="Y25" s="112">
        <f t="shared" si="3"/>
        <v>0.043478260869565216</v>
      </c>
      <c r="Z25" s="112">
        <f t="shared" si="3"/>
        <v>0</v>
      </c>
      <c r="AA25" s="112">
        <f t="shared" si="3"/>
        <v>0</v>
      </c>
      <c r="AB25" s="112">
        <f t="shared" si="3"/>
        <v>0</v>
      </c>
      <c r="AC25" s="112">
        <f t="shared" si="3"/>
        <v>0</v>
      </c>
      <c r="AD25" s="112">
        <f t="shared" si="3"/>
        <v>0</v>
      </c>
      <c r="AE25" s="112">
        <f t="shared" si="3"/>
        <v>0</v>
      </c>
      <c r="AF25" s="108">
        <f t="shared" si="3"/>
        <v>0</v>
      </c>
    </row>
    <row r="26" spans="2:32" s="90" customFormat="1" ht="14.25">
      <c r="B26" s="90">
        <v>24</v>
      </c>
      <c r="C26" s="109">
        <f>IF(C$2&gt;$B26,0,100%/$B26)</f>
        <v>0.041666666666666664</v>
      </c>
      <c r="D26" s="112">
        <f t="shared" si="3"/>
        <v>0.041666666666666664</v>
      </c>
      <c r="E26" s="112">
        <f t="shared" si="3"/>
        <v>0.041666666666666664</v>
      </c>
      <c r="F26" s="112">
        <f t="shared" si="3"/>
        <v>0.041666666666666664</v>
      </c>
      <c r="G26" s="112">
        <f t="shared" si="3"/>
        <v>0.041666666666666664</v>
      </c>
      <c r="H26" s="112">
        <f t="shared" si="3"/>
        <v>0.041666666666666664</v>
      </c>
      <c r="I26" s="112">
        <f t="shared" si="3"/>
        <v>0.041666666666666664</v>
      </c>
      <c r="J26" s="112">
        <f t="shared" si="3"/>
        <v>0.041666666666666664</v>
      </c>
      <c r="K26" s="112">
        <f t="shared" si="3"/>
        <v>0.041666666666666664</v>
      </c>
      <c r="L26" s="112">
        <f t="shared" si="3"/>
        <v>0.041666666666666664</v>
      </c>
      <c r="M26" s="112">
        <f t="shared" si="3"/>
        <v>0.041666666666666664</v>
      </c>
      <c r="N26" s="112">
        <f t="shared" si="3"/>
        <v>0.041666666666666664</v>
      </c>
      <c r="O26" s="112">
        <f t="shared" si="3"/>
        <v>0.041666666666666664</v>
      </c>
      <c r="P26" s="112">
        <f t="shared" si="3"/>
        <v>0.041666666666666664</v>
      </c>
      <c r="Q26" s="112">
        <f t="shared" si="3"/>
        <v>0.041666666666666664</v>
      </c>
      <c r="R26" s="112">
        <f t="shared" si="3"/>
        <v>0.041666666666666664</v>
      </c>
      <c r="S26" s="112">
        <f t="shared" si="3"/>
        <v>0.041666666666666664</v>
      </c>
      <c r="T26" s="112">
        <f t="shared" si="3"/>
        <v>0.041666666666666664</v>
      </c>
      <c r="U26" s="112">
        <f t="shared" si="3"/>
        <v>0.041666666666666664</v>
      </c>
      <c r="V26" s="112">
        <f t="shared" si="3"/>
        <v>0.041666666666666664</v>
      </c>
      <c r="W26" s="112">
        <f t="shared" si="3"/>
        <v>0.041666666666666664</v>
      </c>
      <c r="X26" s="112">
        <f t="shared" si="3"/>
        <v>0.041666666666666664</v>
      </c>
      <c r="Y26" s="112">
        <f t="shared" si="3"/>
        <v>0.041666666666666664</v>
      </c>
      <c r="Z26" s="112">
        <f t="shared" si="3"/>
        <v>0.041666666666666664</v>
      </c>
      <c r="AA26" s="112">
        <f t="shared" si="3"/>
        <v>0</v>
      </c>
      <c r="AB26" s="112">
        <f t="shared" si="3"/>
        <v>0</v>
      </c>
      <c r="AC26" s="112">
        <f t="shared" si="3"/>
        <v>0</v>
      </c>
      <c r="AD26" s="112">
        <f t="shared" si="3"/>
        <v>0</v>
      </c>
      <c r="AE26" s="112">
        <f t="shared" si="3"/>
        <v>0</v>
      </c>
      <c r="AF26" s="108">
        <f t="shared" si="3"/>
        <v>0</v>
      </c>
    </row>
    <row r="27" spans="2:32" s="90" customFormat="1" ht="14.25">
      <c r="B27" s="90">
        <v>25</v>
      </c>
      <c r="C27" s="109">
        <f>IF(C$2&gt;$B27,0,100%/$B27)</f>
        <v>0.04</v>
      </c>
      <c r="D27" s="112">
        <f t="shared" si="3"/>
        <v>0.04</v>
      </c>
      <c r="E27" s="112">
        <f t="shared" si="3"/>
        <v>0.04</v>
      </c>
      <c r="F27" s="112">
        <f t="shared" si="3"/>
        <v>0.04</v>
      </c>
      <c r="G27" s="112">
        <f t="shared" si="3"/>
        <v>0.04</v>
      </c>
      <c r="H27" s="112">
        <f t="shared" si="3"/>
        <v>0.04</v>
      </c>
      <c r="I27" s="112">
        <f t="shared" si="3"/>
        <v>0.04</v>
      </c>
      <c r="J27" s="112">
        <f t="shared" si="3"/>
        <v>0.04</v>
      </c>
      <c r="K27" s="112">
        <f t="shared" si="3"/>
        <v>0.04</v>
      </c>
      <c r="L27" s="112">
        <f t="shared" si="3"/>
        <v>0.04</v>
      </c>
      <c r="M27" s="112">
        <f t="shared" si="3"/>
        <v>0.04</v>
      </c>
      <c r="N27" s="112">
        <f t="shared" si="3"/>
        <v>0.04</v>
      </c>
      <c r="O27" s="112">
        <f t="shared" si="3"/>
        <v>0.04</v>
      </c>
      <c r="P27" s="112">
        <f t="shared" si="3"/>
        <v>0.04</v>
      </c>
      <c r="Q27" s="112">
        <f t="shared" si="3"/>
        <v>0.04</v>
      </c>
      <c r="R27" s="112">
        <f t="shared" si="3"/>
        <v>0.04</v>
      </c>
      <c r="S27" s="112">
        <f t="shared" si="3"/>
        <v>0.04</v>
      </c>
      <c r="T27" s="112">
        <f t="shared" si="3"/>
        <v>0.04</v>
      </c>
      <c r="U27" s="112">
        <f t="shared" si="3"/>
        <v>0.04</v>
      </c>
      <c r="V27" s="112">
        <f t="shared" si="3"/>
        <v>0.04</v>
      </c>
      <c r="W27" s="112">
        <f t="shared" si="3"/>
        <v>0.04</v>
      </c>
      <c r="X27" s="112">
        <f t="shared" si="3"/>
        <v>0.04</v>
      </c>
      <c r="Y27" s="112">
        <f t="shared" si="3"/>
        <v>0.04</v>
      </c>
      <c r="Z27" s="112">
        <f t="shared" si="3"/>
        <v>0.04</v>
      </c>
      <c r="AA27" s="112">
        <f t="shared" si="3"/>
        <v>0.04</v>
      </c>
      <c r="AB27" s="112">
        <f t="shared" si="3"/>
        <v>0</v>
      </c>
      <c r="AC27" s="112">
        <f t="shared" si="3"/>
        <v>0</v>
      </c>
      <c r="AD27" s="112">
        <f t="shared" si="3"/>
        <v>0</v>
      </c>
      <c r="AE27" s="112">
        <f t="shared" si="3"/>
        <v>0</v>
      </c>
      <c r="AF27" s="108">
        <f t="shared" si="3"/>
        <v>0</v>
      </c>
    </row>
    <row r="28" spans="2:32" s="90" customFormat="1" ht="14.25">
      <c r="B28" s="90">
        <v>26</v>
      </c>
      <c r="C28" s="109">
        <f>IF(C$2&gt;$B28,0,100%/$B28)</f>
        <v>0.038461538461538464</v>
      </c>
      <c r="D28" s="112">
        <f t="shared" si="3"/>
        <v>0.038461538461538464</v>
      </c>
      <c r="E28" s="112">
        <f t="shared" si="3"/>
        <v>0.038461538461538464</v>
      </c>
      <c r="F28" s="112">
        <f t="shared" si="3"/>
        <v>0.038461538461538464</v>
      </c>
      <c r="G28" s="112">
        <f t="shared" si="3"/>
        <v>0.038461538461538464</v>
      </c>
      <c r="H28" s="112">
        <f t="shared" si="3"/>
        <v>0.038461538461538464</v>
      </c>
      <c r="I28" s="112">
        <f t="shared" si="3"/>
        <v>0.038461538461538464</v>
      </c>
      <c r="J28" s="112">
        <f t="shared" si="3"/>
        <v>0.038461538461538464</v>
      </c>
      <c r="K28" s="112">
        <f t="shared" si="3"/>
        <v>0.038461538461538464</v>
      </c>
      <c r="L28" s="112">
        <f t="shared" si="3"/>
        <v>0.038461538461538464</v>
      </c>
      <c r="M28" s="112">
        <f t="shared" si="3"/>
        <v>0.038461538461538464</v>
      </c>
      <c r="N28" s="112">
        <f t="shared" si="3"/>
        <v>0.038461538461538464</v>
      </c>
      <c r="O28" s="112">
        <f t="shared" si="3"/>
        <v>0.038461538461538464</v>
      </c>
      <c r="P28" s="112">
        <f t="shared" si="3"/>
        <v>0.038461538461538464</v>
      </c>
      <c r="Q28" s="112">
        <f t="shared" si="3"/>
        <v>0.038461538461538464</v>
      </c>
      <c r="R28" s="112">
        <f t="shared" si="3"/>
        <v>0.038461538461538464</v>
      </c>
      <c r="S28" s="112">
        <f t="shared" si="3"/>
        <v>0.038461538461538464</v>
      </c>
      <c r="T28" s="112">
        <f t="shared" si="3"/>
        <v>0.038461538461538464</v>
      </c>
      <c r="U28" s="112">
        <f t="shared" si="3"/>
        <v>0.038461538461538464</v>
      </c>
      <c r="V28" s="112">
        <f t="shared" si="3"/>
        <v>0.038461538461538464</v>
      </c>
      <c r="W28" s="112">
        <f t="shared" si="3"/>
        <v>0.038461538461538464</v>
      </c>
      <c r="X28" s="112">
        <f t="shared" si="3"/>
        <v>0.038461538461538464</v>
      </c>
      <c r="Y28" s="112">
        <f t="shared" si="3"/>
        <v>0.038461538461538464</v>
      </c>
      <c r="Z28" s="112">
        <f t="shared" si="3"/>
        <v>0.038461538461538464</v>
      </c>
      <c r="AA28" s="112">
        <f t="shared" si="3"/>
        <v>0.038461538461538464</v>
      </c>
      <c r="AB28" s="112">
        <f t="shared" si="3"/>
        <v>0.038461538461538464</v>
      </c>
      <c r="AC28" s="112">
        <f t="shared" si="3"/>
        <v>0</v>
      </c>
      <c r="AD28" s="112">
        <f t="shared" si="3"/>
        <v>0</v>
      </c>
      <c r="AE28" s="112">
        <f t="shared" si="3"/>
        <v>0</v>
      </c>
      <c r="AF28" s="108">
        <f t="shared" si="3"/>
        <v>0</v>
      </c>
    </row>
    <row r="29" spans="2:32" s="90" customFormat="1" ht="14.25">
      <c r="B29" s="90">
        <v>27</v>
      </c>
      <c r="C29" s="109">
        <f>IF(C$2&gt;$B29,0,100%/$B29)</f>
        <v>0.037037037037037035</v>
      </c>
      <c r="D29" s="112">
        <f t="shared" si="3"/>
        <v>0.037037037037037035</v>
      </c>
      <c r="E29" s="112">
        <f t="shared" si="3"/>
        <v>0.037037037037037035</v>
      </c>
      <c r="F29" s="112">
        <f t="shared" si="3"/>
        <v>0.037037037037037035</v>
      </c>
      <c r="G29" s="112">
        <f t="shared" si="3"/>
        <v>0.037037037037037035</v>
      </c>
      <c r="H29" s="112">
        <f t="shared" si="3"/>
        <v>0.037037037037037035</v>
      </c>
      <c r="I29" s="112">
        <f t="shared" si="3"/>
        <v>0.037037037037037035</v>
      </c>
      <c r="J29" s="112">
        <f t="shared" si="3"/>
        <v>0.037037037037037035</v>
      </c>
      <c r="K29" s="112">
        <f t="shared" si="3"/>
        <v>0.037037037037037035</v>
      </c>
      <c r="L29" s="112">
        <f t="shared" si="3"/>
        <v>0.037037037037037035</v>
      </c>
      <c r="M29" s="112">
        <f t="shared" si="3"/>
        <v>0.037037037037037035</v>
      </c>
      <c r="N29" s="112">
        <f t="shared" si="3"/>
        <v>0.037037037037037035</v>
      </c>
      <c r="O29" s="112">
        <f t="shared" si="3"/>
        <v>0.037037037037037035</v>
      </c>
      <c r="P29" s="112">
        <f t="shared" si="3"/>
        <v>0.037037037037037035</v>
      </c>
      <c r="Q29" s="112">
        <f t="shared" si="3"/>
        <v>0.037037037037037035</v>
      </c>
      <c r="R29" s="112">
        <f t="shared" si="3"/>
        <v>0.037037037037037035</v>
      </c>
      <c r="S29" s="112">
        <f t="shared" si="3"/>
        <v>0.037037037037037035</v>
      </c>
      <c r="T29" s="112">
        <f t="shared" si="3"/>
        <v>0.037037037037037035</v>
      </c>
      <c r="U29" s="112">
        <f t="shared" si="3"/>
        <v>0.037037037037037035</v>
      </c>
      <c r="V29" s="112">
        <f t="shared" si="3"/>
        <v>0.037037037037037035</v>
      </c>
      <c r="W29" s="112">
        <f t="shared" si="3"/>
        <v>0.037037037037037035</v>
      </c>
      <c r="X29" s="112">
        <f t="shared" si="3"/>
        <v>0.037037037037037035</v>
      </c>
      <c r="Y29" s="112">
        <f t="shared" si="3"/>
        <v>0.037037037037037035</v>
      </c>
      <c r="Z29" s="112">
        <f t="shared" si="3"/>
        <v>0.037037037037037035</v>
      </c>
      <c r="AA29" s="112">
        <f t="shared" si="3"/>
        <v>0.037037037037037035</v>
      </c>
      <c r="AB29" s="112">
        <f t="shared" si="3"/>
        <v>0.037037037037037035</v>
      </c>
      <c r="AC29" s="112">
        <f t="shared" si="3"/>
        <v>0.037037037037037035</v>
      </c>
      <c r="AD29" s="112">
        <f aca="true" t="shared" si="4" ref="D29:AF32">IF(AD$2&gt;$B29,0,100%/$B29)</f>
        <v>0</v>
      </c>
      <c r="AE29" s="112">
        <f t="shared" si="4"/>
        <v>0</v>
      </c>
      <c r="AF29" s="108">
        <f t="shared" si="4"/>
        <v>0</v>
      </c>
    </row>
    <row r="30" spans="2:32" s="90" customFormat="1" ht="14.25">
      <c r="B30" s="90">
        <v>28</v>
      </c>
      <c r="C30" s="109">
        <f>IF(C$2&gt;$B30,0,100%/$B30)</f>
        <v>0.03571428571428571</v>
      </c>
      <c r="D30" s="112">
        <f t="shared" si="4"/>
        <v>0.03571428571428571</v>
      </c>
      <c r="E30" s="112">
        <f t="shared" si="4"/>
        <v>0.03571428571428571</v>
      </c>
      <c r="F30" s="112">
        <f t="shared" si="4"/>
        <v>0.03571428571428571</v>
      </c>
      <c r="G30" s="112">
        <f t="shared" si="4"/>
        <v>0.03571428571428571</v>
      </c>
      <c r="H30" s="112">
        <f t="shared" si="4"/>
        <v>0.03571428571428571</v>
      </c>
      <c r="I30" s="112">
        <f t="shared" si="4"/>
        <v>0.03571428571428571</v>
      </c>
      <c r="J30" s="112">
        <f t="shared" si="4"/>
        <v>0.03571428571428571</v>
      </c>
      <c r="K30" s="112">
        <f t="shared" si="4"/>
        <v>0.03571428571428571</v>
      </c>
      <c r="L30" s="112">
        <f t="shared" si="4"/>
        <v>0.03571428571428571</v>
      </c>
      <c r="M30" s="112">
        <f t="shared" si="4"/>
        <v>0.03571428571428571</v>
      </c>
      <c r="N30" s="112">
        <f t="shared" si="4"/>
        <v>0.03571428571428571</v>
      </c>
      <c r="O30" s="112">
        <f t="shared" si="4"/>
        <v>0.03571428571428571</v>
      </c>
      <c r="P30" s="112">
        <f t="shared" si="4"/>
        <v>0.03571428571428571</v>
      </c>
      <c r="Q30" s="112">
        <f t="shared" si="4"/>
        <v>0.03571428571428571</v>
      </c>
      <c r="R30" s="112">
        <f t="shared" si="4"/>
        <v>0.03571428571428571</v>
      </c>
      <c r="S30" s="112">
        <f t="shared" si="4"/>
        <v>0.03571428571428571</v>
      </c>
      <c r="T30" s="112">
        <f t="shared" si="4"/>
        <v>0.03571428571428571</v>
      </c>
      <c r="U30" s="112">
        <f t="shared" si="4"/>
        <v>0.03571428571428571</v>
      </c>
      <c r="V30" s="112">
        <f t="shared" si="4"/>
        <v>0.03571428571428571</v>
      </c>
      <c r="W30" s="112">
        <f t="shared" si="4"/>
        <v>0.03571428571428571</v>
      </c>
      <c r="X30" s="112">
        <f t="shared" si="4"/>
        <v>0.03571428571428571</v>
      </c>
      <c r="Y30" s="112">
        <f t="shared" si="4"/>
        <v>0.03571428571428571</v>
      </c>
      <c r="Z30" s="112">
        <f t="shared" si="4"/>
        <v>0.03571428571428571</v>
      </c>
      <c r="AA30" s="112">
        <f t="shared" si="4"/>
        <v>0.03571428571428571</v>
      </c>
      <c r="AB30" s="112">
        <f t="shared" si="4"/>
        <v>0.03571428571428571</v>
      </c>
      <c r="AC30" s="112">
        <f t="shared" si="4"/>
        <v>0.03571428571428571</v>
      </c>
      <c r="AD30" s="112">
        <f t="shared" si="4"/>
        <v>0.03571428571428571</v>
      </c>
      <c r="AE30" s="112">
        <f t="shared" si="4"/>
        <v>0</v>
      </c>
      <c r="AF30" s="108">
        <f t="shared" si="4"/>
        <v>0</v>
      </c>
    </row>
    <row r="31" spans="2:32" s="90" customFormat="1" ht="14.25">
      <c r="B31" s="90">
        <v>29</v>
      </c>
      <c r="C31" s="109">
        <f>IF(C$2&gt;$B31,0,100%/$B31)</f>
        <v>0.034482758620689655</v>
      </c>
      <c r="D31" s="112">
        <f t="shared" si="4"/>
        <v>0.034482758620689655</v>
      </c>
      <c r="E31" s="112">
        <f t="shared" si="4"/>
        <v>0.034482758620689655</v>
      </c>
      <c r="F31" s="112">
        <f t="shared" si="4"/>
        <v>0.034482758620689655</v>
      </c>
      <c r="G31" s="112">
        <f t="shared" si="4"/>
        <v>0.034482758620689655</v>
      </c>
      <c r="H31" s="112">
        <f t="shared" si="4"/>
        <v>0.034482758620689655</v>
      </c>
      <c r="I31" s="112">
        <f t="shared" si="4"/>
        <v>0.034482758620689655</v>
      </c>
      <c r="J31" s="112">
        <f t="shared" si="4"/>
        <v>0.034482758620689655</v>
      </c>
      <c r="K31" s="112">
        <f t="shared" si="4"/>
        <v>0.034482758620689655</v>
      </c>
      <c r="L31" s="112">
        <f t="shared" si="4"/>
        <v>0.034482758620689655</v>
      </c>
      <c r="M31" s="112">
        <f t="shared" si="4"/>
        <v>0.034482758620689655</v>
      </c>
      <c r="N31" s="112">
        <f t="shared" si="4"/>
        <v>0.034482758620689655</v>
      </c>
      <c r="O31" s="112">
        <f t="shared" si="4"/>
        <v>0.034482758620689655</v>
      </c>
      <c r="P31" s="112">
        <f t="shared" si="4"/>
        <v>0.034482758620689655</v>
      </c>
      <c r="Q31" s="112">
        <f t="shared" si="4"/>
        <v>0.034482758620689655</v>
      </c>
      <c r="R31" s="112">
        <f t="shared" si="4"/>
        <v>0.034482758620689655</v>
      </c>
      <c r="S31" s="112">
        <f t="shared" si="4"/>
        <v>0.034482758620689655</v>
      </c>
      <c r="T31" s="112">
        <f t="shared" si="4"/>
        <v>0.034482758620689655</v>
      </c>
      <c r="U31" s="112">
        <f t="shared" si="4"/>
        <v>0.034482758620689655</v>
      </c>
      <c r="V31" s="112">
        <f t="shared" si="4"/>
        <v>0.034482758620689655</v>
      </c>
      <c r="W31" s="112">
        <f t="shared" si="4"/>
        <v>0.034482758620689655</v>
      </c>
      <c r="X31" s="112">
        <f t="shared" si="4"/>
        <v>0.034482758620689655</v>
      </c>
      <c r="Y31" s="112">
        <f t="shared" si="4"/>
        <v>0.034482758620689655</v>
      </c>
      <c r="Z31" s="112">
        <f t="shared" si="4"/>
        <v>0.034482758620689655</v>
      </c>
      <c r="AA31" s="112">
        <f t="shared" si="4"/>
        <v>0.034482758620689655</v>
      </c>
      <c r="AB31" s="112">
        <f t="shared" si="4"/>
        <v>0.034482758620689655</v>
      </c>
      <c r="AC31" s="112">
        <f t="shared" si="4"/>
        <v>0.034482758620689655</v>
      </c>
      <c r="AD31" s="112">
        <f t="shared" si="4"/>
        <v>0.034482758620689655</v>
      </c>
      <c r="AE31" s="112">
        <f t="shared" si="4"/>
        <v>0.034482758620689655</v>
      </c>
      <c r="AF31" s="108">
        <f t="shared" si="4"/>
        <v>0</v>
      </c>
    </row>
    <row r="32" spans="2:32" s="90" customFormat="1" ht="15" thickBot="1">
      <c r="B32" s="90">
        <v>30</v>
      </c>
      <c r="C32" s="107">
        <f>IF(C$2&gt;$B32,0,100%/$B32)</f>
        <v>0.03333333333333333</v>
      </c>
      <c r="D32" s="106">
        <f t="shared" si="4"/>
        <v>0.03333333333333333</v>
      </c>
      <c r="E32" s="106">
        <f t="shared" si="4"/>
        <v>0.03333333333333333</v>
      </c>
      <c r="F32" s="106">
        <f t="shared" si="4"/>
        <v>0.03333333333333333</v>
      </c>
      <c r="G32" s="106">
        <f t="shared" si="4"/>
        <v>0.03333333333333333</v>
      </c>
      <c r="H32" s="106">
        <f t="shared" si="4"/>
        <v>0.03333333333333333</v>
      </c>
      <c r="I32" s="106">
        <f t="shared" si="4"/>
        <v>0.03333333333333333</v>
      </c>
      <c r="J32" s="106">
        <f t="shared" si="4"/>
        <v>0.03333333333333333</v>
      </c>
      <c r="K32" s="106">
        <f t="shared" si="4"/>
        <v>0.03333333333333333</v>
      </c>
      <c r="L32" s="106">
        <f t="shared" si="4"/>
        <v>0.03333333333333333</v>
      </c>
      <c r="M32" s="106">
        <f t="shared" si="4"/>
        <v>0.03333333333333333</v>
      </c>
      <c r="N32" s="106">
        <f t="shared" si="4"/>
        <v>0.03333333333333333</v>
      </c>
      <c r="O32" s="106">
        <f t="shared" si="4"/>
        <v>0.03333333333333333</v>
      </c>
      <c r="P32" s="106">
        <f t="shared" si="4"/>
        <v>0.03333333333333333</v>
      </c>
      <c r="Q32" s="106">
        <f t="shared" si="4"/>
        <v>0.03333333333333333</v>
      </c>
      <c r="R32" s="106">
        <f t="shared" si="4"/>
        <v>0.03333333333333333</v>
      </c>
      <c r="S32" s="106">
        <f t="shared" si="4"/>
        <v>0.03333333333333333</v>
      </c>
      <c r="T32" s="106">
        <f t="shared" si="4"/>
        <v>0.03333333333333333</v>
      </c>
      <c r="U32" s="106">
        <f t="shared" si="4"/>
        <v>0.03333333333333333</v>
      </c>
      <c r="V32" s="106">
        <f t="shared" si="4"/>
        <v>0.03333333333333333</v>
      </c>
      <c r="W32" s="106">
        <f t="shared" si="4"/>
        <v>0.03333333333333333</v>
      </c>
      <c r="X32" s="106">
        <f t="shared" si="4"/>
        <v>0.03333333333333333</v>
      </c>
      <c r="Y32" s="106">
        <f t="shared" si="4"/>
        <v>0.03333333333333333</v>
      </c>
      <c r="Z32" s="106">
        <f t="shared" si="4"/>
        <v>0.03333333333333333</v>
      </c>
      <c r="AA32" s="106">
        <f t="shared" si="4"/>
        <v>0.03333333333333333</v>
      </c>
      <c r="AB32" s="106">
        <f t="shared" si="4"/>
        <v>0.03333333333333333</v>
      </c>
      <c r="AC32" s="106">
        <f t="shared" si="4"/>
        <v>0.03333333333333333</v>
      </c>
      <c r="AD32" s="106">
        <f t="shared" si="4"/>
        <v>0.03333333333333333</v>
      </c>
      <c r="AE32" s="106">
        <f t="shared" si="4"/>
        <v>0.03333333333333333</v>
      </c>
      <c r="AF32" s="105">
        <f t="shared" si="4"/>
        <v>0.03333333333333333</v>
      </c>
    </row>
    <row r="33" s="90" customFormat="1" ht="14.25"/>
    <row r="34" spans="2:32" ht="15.75" thickBot="1">
      <c r="B34" s="100" t="s">
        <v>45</v>
      </c>
      <c r="C34" s="4">
        <v>1</v>
      </c>
      <c r="D34" s="4">
        <v>2</v>
      </c>
      <c r="E34" s="4">
        <v>3</v>
      </c>
      <c r="F34" s="4">
        <v>4</v>
      </c>
      <c r="G34" s="90">
        <v>5</v>
      </c>
      <c r="H34" s="90">
        <v>6</v>
      </c>
      <c r="I34" s="90">
        <v>7</v>
      </c>
      <c r="J34" s="90">
        <v>8</v>
      </c>
      <c r="K34" s="90">
        <v>9</v>
      </c>
      <c r="L34" s="90">
        <v>10</v>
      </c>
      <c r="M34" s="90">
        <v>11</v>
      </c>
      <c r="N34" s="90">
        <v>12</v>
      </c>
      <c r="O34" s="90">
        <v>13</v>
      </c>
      <c r="P34" s="90">
        <v>14</v>
      </c>
      <c r="Q34" s="90">
        <v>15</v>
      </c>
      <c r="R34" s="90">
        <v>16</v>
      </c>
      <c r="S34" s="90">
        <v>17</v>
      </c>
      <c r="T34" s="90">
        <v>18</v>
      </c>
      <c r="U34" s="90">
        <v>19</v>
      </c>
      <c r="V34" s="90">
        <v>20</v>
      </c>
      <c r="W34" s="90">
        <v>21</v>
      </c>
      <c r="X34" s="90">
        <v>22</v>
      </c>
      <c r="Y34" s="90">
        <v>23</v>
      </c>
      <c r="Z34" s="90">
        <v>24</v>
      </c>
      <c r="AA34" s="90">
        <v>25</v>
      </c>
      <c r="AB34" s="90">
        <v>26</v>
      </c>
      <c r="AC34" s="90">
        <v>27</v>
      </c>
      <c r="AD34" s="90">
        <v>28</v>
      </c>
      <c r="AE34" s="90">
        <v>29</v>
      </c>
      <c r="AF34" s="90">
        <v>30</v>
      </c>
    </row>
    <row r="35" spans="2:32" ht="14.25">
      <c r="B35">
        <v>3</v>
      </c>
      <c r="C35" s="110">
        <v>0.3333</v>
      </c>
      <c r="D35" s="113">
        <v>0.4445</v>
      </c>
      <c r="E35" s="113">
        <v>0.1481</v>
      </c>
      <c r="F35" s="113">
        <v>0.0741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4">
        <v>0</v>
      </c>
    </row>
    <row r="36" spans="2:32" ht="14.25">
      <c r="B36">
        <v>5</v>
      </c>
      <c r="C36" s="109">
        <v>0.2</v>
      </c>
      <c r="D36" s="112">
        <v>0.32</v>
      </c>
      <c r="E36" s="112">
        <v>0.192</v>
      </c>
      <c r="F36" s="112">
        <v>0.1152</v>
      </c>
      <c r="G36" s="112">
        <v>0.1152</v>
      </c>
      <c r="H36" s="112">
        <v>0.0576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08">
        <v>0</v>
      </c>
    </row>
    <row r="37" spans="2:32" ht="14.25">
      <c r="B37">
        <v>7</v>
      </c>
      <c r="C37" s="109">
        <v>0.1429</v>
      </c>
      <c r="D37" s="112">
        <v>0.2449</v>
      </c>
      <c r="E37" s="112">
        <v>0.1749</v>
      </c>
      <c r="F37" s="112">
        <v>0.1249</v>
      </c>
      <c r="G37" s="112">
        <v>0.0893</v>
      </c>
      <c r="H37" s="112">
        <v>0.0892</v>
      </c>
      <c r="I37" s="112">
        <v>0.0893</v>
      </c>
      <c r="J37" s="112">
        <v>0.0446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08">
        <v>0</v>
      </c>
    </row>
    <row r="38" spans="2:32" ht="14.25">
      <c r="B38">
        <v>10</v>
      </c>
      <c r="C38" s="109">
        <v>0.1</v>
      </c>
      <c r="D38" s="112">
        <v>0.18</v>
      </c>
      <c r="E38" s="112">
        <v>0.144</v>
      </c>
      <c r="F38" s="112">
        <v>0.1152</v>
      </c>
      <c r="G38" s="112">
        <v>0.0922</v>
      </c>
      <c r="H38" s="112">
        <v>0.0737</v>
      </c>
      <c r="I38" s="112">
        <v>0.0655</v>
      </c>
      <c r="J38" s="112">
        <v>0.0655</v>
      </c>
      <c r="K38" s="112">
        <v>0.0656</v>
      </c>
      <c r="L38" s="112">
        <v>0.0655</v>
      </c>
      <c r="M38" s="112">
        <v>0.0328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08">
        <v>0</v>
      </c>
    </row>
    <row r="39" spans="2:32" ht="14.25">
      <c r="B39">
        <v>15</v>
      </c>
      <c r="C39" s="109">
        <v>0.05</v>
      </c>
      <c r="D39" s="112">
        <v>0.095</v>
      </c>
      <c r="E39" s="112">
        <v>0.0855</v>
      </c>
      <c r="F39" s="112">
        <v>0.077</v>
      </c>
      <c r="G39" s="112">
        <v>0.0693</v>
      </c>
      <c r="H39" s="112">
        <v>0.0623</v>
      </c>
      <c r="I39" s="112">
        <v>0.059000000000000004</v>
      </c>
      <c r="J39" s="112">
        <v>0.059000000000000004</v>
      </c>
      <c r="K39" s="112">
        <v>0.0591</v>
      </c>
      <c r="L39" s="112">
        <v>0.059000000000000004</v>
      </c>
      <c r="M39" s="112">
        <v>0.0591</v>
      </c>
      <c r="N39" s="112">
        <v>0.059</v>
      </c>
      <c r="O39" s="112">
        <v>0.0591</v>
      </c>
      <c r="P39" s="112">
        <v>0.059</v>
      </c>
      <c r="Q39" s="112">
        <v>0.0591</v>
      </c>
      <c r="R39" s="112">
        <v>0.0295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08">
        <v>0</v>
      </c>
    </row>
    <row r="40" spans="2:32" ht="15" thickBot="1">
      <c r="B40">
        <v>20</v>
      </c>
      <c r="C40" s="107">
        <v>0.0375</v>
      </c>
      <c r="D40" s="106">
        <v>0.07219</v>
      </c>
      <c r="E40" s="106">
        <v>0.06677</v>
      </c>
      <c r="F40" s="106">
        <v>0.06177</v>
      </c>
      <c r="G40" s="106">
        <v>0.05713</v>
      </c>
      <c r="H40" s="106">
        <v>0.05285</v>
      </c>
      <c r="I40" s="106">
        <v>0.04888</v>
      </c>
      <c r="J40" s="106">
        <v>0.04522</v>
      </c>
      <c r="K40" s="106">
        <v>0.04462</v>
      </c>
      <c r="L40" s="106">
        <v>0.044610000000000004</v>
      </c>
      <c r="M40" s="106">
        <v>0.04462</v>
      </c>
      <c r="N40" s="106">
        <v>0.044610000000000004</v>
      </c>
      <c r="O40" s="106">
        <v>0.04462</v>
      </c>
      <c r="P40" s="106">
        <v>0.044610000000000004</v>
      </c>
      <c r="Q40" s="106">
        <v>0.04462</v>
      </c>
      <c r="R40" s="106">
        <v>0.044610000000000004</v>
      </c>
      <c r="S40" s="106">
        <v>0.04462</v>
      </c>
      <c r="T40" s="106">
        <v>0.044610000000000004</v>
      </c>
      <c r="U40" s="106">
        <v>0.04462</v>
      </c>
      <c r="V40" s="106">
        <v>0.044610000000000004</v>
      </c>
      <c r="W40" s="106">
        <v>0.02231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5">
        <v>0</v>
      </c>
    </row>
    <row r="41" s="90" customFormat="1" ht="14.25"/>
    <row r="42" spans="2:32" ht="15.75" thickBot="1">
      <c r="B42" s="99" t="s">
        <v>79</v>
      </c>
      <c r="C42" s="111">
        <v>1</v>
      </c>
      <c r="D42" s="111">
        <v>2</v>
      </c>
      <c r="E42" s="111">
        <v>3</v>
      </c>
      <c r="F42" s="111">
        <v>4</v>
      </c>
      <c r="G42" s="111">
        <v>5</v>
      </c>
      <c r="H42" s="111">
        <v>6</v>
      </c>
      <c r="I42" s="111">
        <v>7</v>
      </c>
      <c r="J42" s="111">
        <v>8</v>
      </c>
      <c r="K42" s="111">
        <v>9</v>
      </c>
      <c r="L42" s="111">
        <v>10</v>
      </c>
      <c r="M42" s="111">
        <v>11</v>
      </c>
      <c r="N42" s="111">
        <v>12</v>
      </c>
      <c r="O42" s="111">
        <v>13</v>
      </c>
      <c r="P42" s="111">
        <v>14</v>
      </c>
      <c r="Q42" s="111">
        <v>15</v>
      </c>
      <c r="R42" s="111">
        <v>16</v>
      </c>
      <c r="S42" s="111">
        <v>17</v>
      </c>
      <c r="T42" s="111">
        <v>18</v>
      </c>
      <c r="U42" s="111">
        <v>19</v>
      </c>
      <c r="V42" s="111">
        <v>20</v>
      </c>
      <c r="W42" s="111">
        <v>21</v>
      </c>
      <c r="X42" s="111">
        <v>22</v>
      </c>
      <c r="Y42" s="111">
        <v>23</v>
      </c>
      <c r="Z42" s="111">
        <v>24</v>
      </c>
      <c r="AA42" s="111">
        <v>25</v>
      </c>
      <c r="AB42" s="111">
        <v>26</v>
      </c>
      <c r="AC42" s="111">
        <v>27</v>
      </c>
      <c r="AD42" s="111">
        <v>28</v>
      </c>
      <c r="AE42" s="111">
        <v>29</v>
      </c>
      <c r="AF42" s="111">
        <v>30</v>
      </c>
    </row>
    <row r="43" spans="2:32" ht="14.25">
      <c r="B43">
        <v>5</v>
      </c>
      <c r="C43" s="104">
        <v>0.6</v>
      </c>
      <c r="D43" s="103">
        <v>0.16</v>
      </c>
      <c r="E43" s="103">
        <v>0.096</v>
      </c>
      <c r="F43" s="103">
        <v>0.0576</v>
      </c>
      <c r="G43" s="103">
        <v>0.0576</v>
      </c>
      <c r="H43" s="103">
        <v>0.0288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4">
        <v>0</v>
      </c>
    </row>
    <row r="44" spans="2:32" ht="15" thickBot="1">
      <c r="B44">
        <v>7</v>
      </c>
      <c r="C44" s="102">
        <v>0.57145</v>
      </c>
      <c r="D44" s="101">
        <v>0.12245</v>
      </c>
      <c r="E44" s="101">
        <v>0.08745</v>
      </c>
      <c r="F44" s="101">
        <v>0.06245</v>
      </c>
      <c r="G44" s="101">
        <v>0.04465</v>
      </c>
      <c r="H44" s="101">
        <v>0.0446</v>
      </c>
      <c r="I44" s="101">
        <v>0.04465</v>
      </c>
      <c r="J44" s="101">
        <v>0.0223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5">
        <v>0</v>
      </c>
    </row>
    <row r="46" ht="14.25">
      <c r="B46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83.140625" style="0" customWidth="1"/>
    <col min="2" max="2" width="128.28125" style="0" bestFit="1" customWidth="1"/>
  </cols>
  <sheetData>
    <row r="1" s="115" customFormat="1" ht="14.25"/>
    <row r="2" spans="1:2" ht="14.25">
      <c r="A2" s="115" t="s">
        <v>5</v>
      </c>
      <c r="B2" s="602" t="s">
        <v>111</v>
      </c>
    </row>
    <row r="3" spans="1:2" ht="14.25">
      <c r="A3" s="115" t="s">
        <v>106</v>
      </c>
      <c r="B3" s="602" t="s">
        <v>107</v>
      </c>
    </row>
    <row r="4" spans="1:2" s="602" customFormat="1" ht="14.25">
      <c r="A4" s="602" t="s">
        <v>106</v>
      </c>
      <c r="B4" s="602" t="s">
        <v>150</v>
      </c>
    </row>
    <row r="5" spans="1:2" s="602" customFormat="1" ht="14.25">
      <c r="A5" s="602" t="s">
        <v>106</v>
      </c>
      <c r="B5" t="s">
        <v>151</v>
      </c>
    </row>
    <row r="6" spans="1:2" ht="14.25">
      <c r="A6" s="115" t="s">
        <v>110</v>
      </c>
      <c r="B6" s="115" t="s">
        <v>109</v>
      </c>
    </row>
    <row r="7" spans="1:2" ht="14.25">
      <c r="A7" s="115" t="s">
        <v>114</v>
      </c>
      <c r="B7" s="115" t="s">
        <v>113</v>
      </c>
    </row>
    <row r="8" spans="1:2" ht="14.25">
      <c r="A8" s="115" t="s">
        <v>115</v>
      </c>
      <c r="B8" s="115" t="s">
        <v>116</v>
      </c>
    </row>
    <row r="9" spans="1:2" ht="14.25">
      <c r="A9" s="115" t="s">
        <v>119</v>
      </c>
      <c r="B9" s="115" t="s">
        <v>112</v>
      </c>
    </row>
    <row r="10" spans="1:2" ht="14.25">
      <c r="A10" s="115" t="s">
        <v>117</v>
      </c>
      <c r="B10" s="602" t="s">
        <v>118</v>
      </c>
    </row>
    <row r="11" spans="1:2" ht="14.25">
      <c r="A11" s="115" t="s">
        <v>120</v>
      </c>
      <c r="B11" t="s">
        <v>121</v>
      </c>
    </row>
    <row r="12" ht="14.25">
      <c r="A12" s="115" t="s">
        <v>108</v>
      </c>
    </row>
    <row r="13" spans="1:2" ht="14.25">
      <c r="A13" s="115" t="s">
        <v>128</v>
      </c>
      <c r="B13" t="s">
        <v>127</v>
      </c>
    </row>
    <row r="14" spans="1:2" ht="14.25">
      <c r="A14" s="147" t="s">
        <v>139</v>
      </c>
      <c r="B14" t="s">
        <v>138</v>
      </c>
    </row>
    <row r="15" spans="1:2" s="147" customFormat="1" ht="14.25">
      <c r="A15" s="602" t="s">
        <v>139</v>
      </c>
      <c r="B15" s="147" t="s">
        <v>141</v>
      </c>
    </row>
    <row r="16" spans="1:2" s="602" customFormat="1" ht="14.25">
      <c r="A16" s="602" t="s">
        <v>147</v>
      </c>
      <c r="B16" s="602" t="s">
        <v>146</v>
      </c>
    </row>
    <row r="17" spans="1:2" s="602" customFormat="1" ht="14.25">
      <c r="A17" s="602" t="s">
        <v>147</v>
      </c>
      <c r="B17" s="602" t="s">
        <v>148</v>
      </c>
    </row>
    <row r="18" s="602" customFormat="1" ht="14.25"/>
    <row r="19" s="602" customFormat="1" ht="14.25">
      <c r="B19" s="602" t="s">
        <v>149</v>
      </c>
    </row>
    <row r="20" ht="14.25">
      <c r="A20" s="115" t="s">
        <v>126</v>
      </c>
    </row>
    <row r="21" ht="14.25">
      <c r="A21" s="60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2015-11-25T14:08:30Z</dcterms:created>
  <dcterms:modified xsi:type="dcterms:W3CDTF">2016-01-22T16:11:34Z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2113054845</vt:i4>
  </property>
  <property fmtid="{D5CDD505-2E9C-101B-9397-08002B2CF9AE}" pid="3" name="_NewReviewCycle">
    <vt:lpwstr/>
  </property>
  <property fmtid="{D5CDD505-2E9C-101B-9397-08002B2CF9AE}" pid="4" name="_PreviousAdHocReviewCycleID">
    <vt:i4>-152646949</vt:i4>
  </property>
  <property fmtid="{D5CDD505-2E9C-101B-9397-08002B2CF9AE}" pid="5" name="_ReviewingToolsShownOnce">
    <vt:lpwstr/>
  </property>
  <property fmtid="{D5CDD505-2E9C-101B-9397-08002B2CF9AE}" pid="6" name="SortOrder">
    <vt:lpwstr>7.10000000000000</vt:lpwstr>
  </property>
  <property fmtid="{D5CDD505-2E9C-101B-9397-08002B2CF9AE}" pid="7" name="ChildDocFolderPath">
    <vt:lpwstr/>
  </property>
  <property fmtid="{D5CDD505-2E9C-101B-9397-08002B2CF9AE}" pid="8" name="LongTitle">
    <vt:lpwstr>Agenda 7 - Preliminary Limited Renewable Analysis</vt:lpwstr>
  </property>
  <property fmtid="{D5CDD505-2E9C-101B-9397-08002B2CF9AE}" pid="9" name="PubName">
    <vt:lpwstr>2016-01-22T00:00:00Z</vt:lpwstr>
  </property>
  <property fmtid="{D5CDD505-2E9C-101B-9397-08002B2CF9AE}" pid="10" name="DocType">
    <vt:lpwstr/>
  </property>
  <property fmtid="{D5CDD505-2E9C-101B-9397-08002B2CF9AE}" pid="11" name="SubTitle">
    <vt:lpwstr/>
  </property>
  <property fmtid="{D5CDD505-2E9C-101B-9397-08002B2CF9AE}" pid="12" name="LeftPane">
    <vt:lpwstr>0</vt:lpwstr>
  </property>
</Properties>
</file>